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латн услугиСВОД " r:id="rId1" sheetId="1" state="visible"/>
    <sheet name="П 1" r:id="rId2" sheetId="2" state="visible"/>
    <sheet name=" П 2" r:id="rId3" sheetId="3" state="visible"/>
    <sheet name=" П 2.1." r:id="rId4" sheetId="4" state="visible"/>
    <sheet name=" П 3" r:id="rId5" sheetId="5" state="visible"/>
    <sheet name=" П 4 " r:id="rId6" sheetId="6" state="visible"/>
    <sheet name=" П 5" r:id="rId7" sheetId="7" state="visible"/>
    <sheet name=" П 6" r:id="rId8" sheetId="8" state="visible"/>
    <sheet name=" П 7" r:id="rId9" sheetId="9" state="visible"/>
    <sheet name="П 8" r:id="rId10" sheetId="10" state="visible"/>
    <sheet name="П 9" r:id="rId11" sheetId="11" state="visible"/>
    <sheet name="П 10" r:id="rId12" sheetId="12" state="visible"/>
    <sheet name="П 11 " r:id="rId13" sheetId="13" state="visible"/>
    <sheet name="П 12" r:id="rId14" sheetId="14" state="visible"/>
    <sheet name=" П 13" r:id="rId15" sheetId="15" state="visible"/>
    <sheet name="П 14" r:id="rId16" sheetId="16" state="visible"/>
    <sheet name="П 15" r:id="rId17" sheetId="17" state="visible"/>
    <sheet name="П 16" r:id="rId18" sheetId="18" state="visible"/>
    <sheet name="П 17" r:id="rId19" sheetId="19" state="visible"/>
    <sheet name="П 18" r:id="rId20" sheetId="20" state="visible"/>
    <sheet name="П 19" r:id="rId21" sheetId="21" state="visible"/>
    <sheet name="П 20" r:id="rId22" sheetId="22" state="visible"/>
    <sheet name="П 21" r:id="rId23" sheetId="23" state="visible"/>
    <sheet name="П 22" r:id="rId24" sheetId="24" state="visible"/>
    <sheet name="П 23" r:id="rId25" sheetId="25" state="visible"/>
    <sheet name="П 24" r:id="rId26" sheetId="26" state="visible"/>
    <sheet name="П 25" r:id="rId27" sheetId="27" state="visible"/>
    <sheet name="П 26" r:id="rId28" sheetId="28" state="visible"/>
    <sheet name="П 27" r:id="rId29" sheetId="29" state="visible"/>
    <sheet name="П 28" r:id="rId30" sheetId="30" state="visible"/>
    <sheet name="П 29" r:id="rId31" sheetId="31" state="visible"/>
    <sheet name="П 30" r:id="rId32" sheetId="32" state="visible"/>
    <sheet name="П 31" r:id="rId33" sheetId="33" state="visible"/>
    <sheet name="П 32" r:id="rId34" sheetId="34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<sst xmlns="http://schemas.openxmlformats.org/spreadsheetml/2006/main" xmlns:a="http://schemas.openxmlformats.org/drawingml/2006/main" xmlns:a15="http://schemas.microsoft.com/office/drawing/2012/main" xmlns:asvg="http://schemas.microsoft.com/office/drawing/2016/SVG/main" xmlns:c="http://schemas.openxmlformats.org/drawingml/2006/chart" xmlns:co="http://ncloudtech.com" xmlns:co-ooxml="http://ncloudtech.com/ooxml" xmlns:m="http://schemas.openxmlformats.org/officeDocument/2006/math" xmlns:mc="http://schemas.openxmlformats.org/markup-compatibility/2006" xmlns:o="urn:schemas-microsoft-com:office:office" xmlns:p="http://schemas.openxmlformats.org/presentationml/2006/main" xmlns:pic="http://schemas.openxmlformats.org/drawingml/2006/picture" xmlns:r="http://schemas.openxmlformats.org/officeDocument/2006/relationships" xmlns:s="http://schemas.openxmlformats.org/officeDocument/2006/sharedTypes" xmlns:sl="http://schemas.openxmlformats.org/schemaLibrary/2006/main" xmlns:v="urn:schemas-microsoft-com:vml" xmlns:w="http://schemas.openxmlformats.org/wordprocessingml/2006/main" xmlns:w10="urn:schemas-microsoft-com:office:word" xmlns:w14="http://schemas.microsoft.com/office/word/2010/wordml" xmlns:w15="http://schemas.microsoft.com/office/word/2012/wordml" xmlns:wp="http://schemas.openxmlformats.org/drawingml/2006/wordprocessingDrawing" xmlns:wpg="http://schemas.microsoft.com/office/word/2010/wordprocessingGroup" xmlns:wps="http://schemas.microsoft.com/office/word/2010/wordprocessingShape" xmlns:x="urn:schemas-microsoft-com:office:excel" xmlns:x12ac="http://schemas.microsoft.com/office/spreadsheetml/2011/1/ac" xmlns:x14="http://schemas.microsoft.com/office/spreadsheetml/2009/9/main" xmlns:xdr="http://schemas.openxmlformats.org/drawingml/2006/spreadsheetDrawing" xmlns:xm="http://schemas.microsoft.com/office/excel/2006/main" mc:Ignorable="co co-ooxml w14 x14 w15">
  <si>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2.3.</t>
  </si>
  <si>
    <t xml:space="preserve">Приложение №1 </t>
  </si>
  <si>
    <t>Услуга  сопровождения проводника по природно-ориентированному маршруту  на ООПТ республиканского значения и общедоступных угодьях РС(Я) (сбор дикоросов)</t>
  </si>
  <si>
    <t>1 день/1 чел.</t>
  </si>
  <si>
    <t>к приказу от "___" _________20__г. №____________________________</t>
  </si>
  <si>
    <t xml:space="preserve">Перечень и предельные тарифы платных услуг, оказываемых ГБУ РС (Я) "Дирекция биологических ресурсов, особо охраняемых природных территорий и природных парков" </t>
  </si>
  <si>
    <t>П17</t>
  </si>
  <si>
    <t>2.4.</t>
  </si>
  <si>
    <t>Услуга по предоставлению оборудованных пикниковых точек (беседка, мангал, стол, шампуры, урна, заготовленные дрова, санитарные точки)</t>
  </si>
  <si>
    <t>1 день/группа</t>
  </si>
  <si>
    <t>П 18</t>
  </si>
  <si>
    <t>№ п/п</t>
  </si>
  <si>
    <t>Наименование</t>
  </si>
  <si>
    <t>Ед. измерения</t>
  </si>
  <si>
    <t>Цена, руб.</t>
  </si>
  <si>
    <t>Приложение</t>
  </si>
  <si>
    <t>1. Информационные услуги</t>
  </si>
  <si>
    <t>2.5.</t>
  </si>
  <si>
    <t>Услуги сопровождения на туристических маршрутах:</t>
  </si>
  <si>
    <t>1.1.</t>
  </si>
  <si>
    <t>2.5.1.</t>
  </si>
  <si>
    <t xml:space="preserve">Услуга по выдаче информационных справок об особо охраняемой природной территории республиканского значения (информационная справка с  картосхемой ООПТ) </t>
  </si>
  <si>
    <t>"Лето на реке Синяя"</t>
  </si>
  <si>
    <t>1 справка / 1 ООПТ</t>
  </si>
  <si>
    <t>1 группа до 8 чел.</t>
  </si>
  <si>
    <t>П 19</t>
  </si>
  <si>
    <t>П 1</t>
  </si>
  <si>
    <t>2.5.2.</t>
  </si>
  <si>
    <t>"Зима на реке Синяя"</t>
  </si>
  <si>
    <t>П 20</t>
  </si>
  <si>
    <t>1.2.</t>
  </si>
  <si>
    <t xml:space="preserve">Услуга по выдаче справок хозяйствующим субъектам о наличии/отсутствии ООПТ республиканского значения (по запросу) </t>
  </si>
  <si>
    <t>1 объект (до 5 участков)</t>
  </si>
  <si>
    <t>2.5.3.</t>
  </si>
  <si>
    <t>П 2</t>
  </si>
  <si>
    <t>"Питомник лесных бизонов "Тымпынай"</t>
  </si>
  <si>
    <t>П 21</t>
  </si>
  <si>
    <t>1 объект (от 5 участков)</t>
  </si>
  <si>
    <t>2.5.4.</t>
  </si>
  <si>
    <t>"Неизведанная Мома"</t>
  </si>
  <si>
    <t>П 2.1.</t>
  </si>
  <si>
    <t>на 1 туриста</t>
  </si>
  <si>
    <t>П 22</t>
  </si>
  <si>
    <t>1.3.</t>
  </si>
  <si>
    <t xml:space="preserve">Услуга по выдаче справок о режиме и зонировании ООПТ республиканского значения с предоставлением координат зон, их площади </t>
  </si>
  <si>
    <t>2.5.5.</t>
  </si>
  <si>
    <t>"Сплав по р.Синяя"</t>
  </si>
  <si>
    <t>1 группа до 10 чел.</t>
  </si>
  <si>
    <t xml:space="preserve"> П 3</t>
  </si>
  <si>
    <t>П 23</t>
  </si>
  <si>
    <t>2.6.</t>
  </si>
  <si>
    <t>1.4.</t>
  </si>
  <si>
    <t xml:space="preserve">Услуга по предоставлению оборудованных стоянок при сплаве по территории ООПТ </t>
  </si>
  <si>
    <t>Услуга по предоставлению картосхемы ООПТ республиканского значения, электронный формат</t>
  </si>
  <si>
    <t>на группу за маршрут</t>
  </si>
  <si>
    <t>1 карта / 1 ООПТ</t>
  </si>
  <si>
    <t>П 24</t>
  </si>
  <si>
    <t xml:space="preserve"> П 4</t>
  </si>
  <si>
    <t>2.7.</t>
  </si>
  <si>
    <t xml:space="preserve">Услуга по предоставлению в прокат туристического снаряжения </t>
  </si>
  <si>
    <t>1 ед.</t>
  </si>
  <si>
    <t xml:space="preserve">договорная </t>
  </si>
  <si>
    <t>1.5.</t>
  </si>
  <si>
    <t>Х</t>
  </si>
  <si>
    <t>Услуга по предоставлению картосхемы ООПТ республиканского значения с зонированием,  электронный формат</t>
  </si>
  <si>
    <t>П 5</t>
  </si>
  <si>
    <t>2.8.</t>
  </si>
  <si>
    <t>Услуги по обслуживанию организованных групп (заготовка дров,услуги повара, уборка)</t>
  </si>
  <si>
    <t>1 сутки сутки/ 1 группа до 10 чел.</t>
  </si>
  <si>
    <t>П 25</t>
  </si>
  <si>
    <t>1.6.</t>
  </si>
  <si>
    <t>Услуга по предоставлению перечня редких видов (подвидов, популяций животных, растений, грибов, занесенных в Красную книгу Республики Саха (Якутия) хозяйствующим субъектам</t>
  </si>
  <si>
    <t>1 объект</t>
  </si>
  <si>
    <t>П 6</t>
  </si>
  <si>
    <t>1 сутки сутки/ 1 группа более 10 чел.</t>
  </si>
  <si>
    <t>1.7.</t>
  </si>
  <si>
    <t>Услуга по предоставлению перечня редких видов (подвидов, популяций животных, растений, грибов, занесенных в Красную книгу Республики Саха (Якутия) с информацией об их плотности, численности, путях миграций и других сведений хозяйствующим субъектам</t>
  </si>
  <si>
    <t>2.9.</t>
  </si>
  <si>
    <t>П 7</t>
  </si>
  <si>
    <t>Предоставление оборудованных  гостевых помещений (Летний гостевой дом)</t>
  </si>
  <si>
    <t>1 сутки/ 1 группа до 4 чел.</t>
  </si>
  <si>
    <t>П 26</t>
  </si>
  <si>
    <t>1.8.</t>
  </si>
  <si>
    <t xml:space="preserve">Услуга  по выдаче справок хозяйствующим субъектам о наличии/отсутствии водно-болотных угодий и ключевых орнитологических территорий  </t>
  </si>
  <si>
    <t>2.10.</t>
  </si>
  <si>
    <t>П 8</t>
  </si>
  <si>
    <t>Предоставление оборудованных помещений  (Гостевой дом)</t>
  </si>
  <si>
    <t>1 день/ 1 группа до 10 чел.</t>
  </si>
  <si>
    <t>П 27</t>
  </si>
  <si>
    <t>1.9.</t>
  </si>
  <si>
    <t xml:space="preserve"> Услуга по выдаче справок хозяйствующим субъектам о наличии/отсутствии земель лесного фонда, относительно объекта заявителя                      </t>
  </si>
  <si>
    <t>1 справка</t>
  </si>
  <si>
    <t>П 9</t>
  </si>
  <si>
    <t>1 сутки/ 1 группа до 10 чел.</t>
  </si>
  <si>
    <t>1.10.</t>
  </si>
  <si>
    <t>Услуга по выдаче справок хозяйствующим субъектам о наличии/отсутствии земель лесного фонда, относительно земельного участка или объекта заявителя (по кадастровому номеру или по координатам) с уточнением границ лесничества, участкового лесничества, лесных кварталов, с указанием целевого назначения и категории защитных лесов</t>
  </si>
  <si>
    <t>Доп 1 место группе более 10 чел.</t>
  </si>
  <si>
    <t>П 10</t>
  </si>
  <si>
    <t>1.11.</t>
  </si>
  <si>
    <t xml:space="preserve">Услуга   по выдаче справок хозяйствующим субъектам о наличии/отсутствии земель лесного фонда, относительно земельного участка или объекта заявителя (по кадастровому номеру или по координатам) с уточнением границ лесничества, участкового лесничества, лесных кварталов, выделов,  целевого назначения и категории защитных лесов					</t>
  </si>
  <si>
    <t>2.11.</t>
  </si>
  <si>
    <t xml:space="preserve">Предоставление оборудованных помещений (Балаган) </t>
  </si>
  <si>
    <t>1 день/ 1 группа до 20 чел.</t>
  </si>
  <si>
    <t>П 11</t>
  </si>
  <si>
    <t>П 28</t>
  </si>
  <si>
    <t>1.12.</t>
  </si>
  <si>
    <t>Услуга по разработке проектов освоения лесов или внесению изменений в проект освоения лесов</t>
  </si>
  <si>
    <t>по соглашению</t>
  </si>
  <si>
    <t>1 сутки/ 1 группа до 20 чел.</t>
  </si>
  <si>
    <t>1.13.</t>
  </si>
  <si>
    <t xml:space="preserve">Услуга по предоставлению информации о состоянии численности, охотничьих ресурсов и среды их обитания, путях миграции и местах концентрации охотничьих ресурсов </t>
  </si>
  <si>
    <t>Доп 1 место группе более 20 чел.</t>
  </si>
  <si>
    <t>П12</t>
  </si>
  <si>
    <t>1.14.</t>
  </si>
  <si>
    <t>Услуга по предоставлению информации о границах воспроизводственных участков и закрепленных охотничьих угодий, общедоступных территорий РС(Я)) хозяйствующим субъектам</t>
  </si>
  <si>
    <t>2.12.</t>
  </si>
  <si>
    <t>Услуга по предоставлению в пользование объектов размещения на территории кордонов ООПТ республиканского значения</t>
  </si>
  <si>
    <t>1 объект/ 1 месяц</t>
  </si>
  <si>
    <t>П13</t>
  </si>
  <si>
    <t>П 29</t>
  </si>
  <si>
    <t>1.15.</t>
  </si>
  <si>
    <t>Выполнение кадастровых работ</t>
  </si>
  <si>
    <t>1 объект в день</t>
  </si>
  <si>
    <t>1.16.</t>
  </si>
  <si>
    <t xml:space="preserve">Услуга по разработке проектной документации лесных участков </t>
  </si>
  <si>
    <t>2.13.</t>
  </si>
  <si>
    <t>Услуга по предоставлению мест под палатку в кемпинговой зоне ООПТ</t>
  </si>
  <si>
    <t>2. Рекреационные услуги</t>
  </si>
  <si>
    <t>1 сутки</t>
  </si>
  <si>
    <t>П 30</t>
  </si>
  <si>
    <t>2.1.</t>
  </si>
  <si>
    <t>Услуга сопровождения при проведении работ по обследованию, изучению, изысканию и проектированию, в том числе по транзитному проезду на территории ООПТ республиканского значения</t>
  </si>
  <si>
    <t>1 ООПТ/ 1 месяц</t>
  </si>
  <si>
    <t>2.14.</t>
  </si>
  <si>
    <t>Услуга по проведению зимнего маршрутного учета (по заявкам):</t>
  </si>
  <si>
    <t>П14</t>
  </si>
  <si>
    <t>2.14.1.</t>
  </si>
  <si>
    <t>Полевые работы</t>
  </si>
  <si>
    <t>1 условный  учетный маршрут</t>
  </si>
  <si>
    <t>из них транзитный проезд</t>
  </si>
  <si>
    <t>П 31</t>
  </si>
  <si>
    <t>1 ООПТ/ разово</t>
  </si>
  <si>
    <t>от 1300 до 4000</t>
  </si>
  <si>
    <t>2.14.2.</t>
  </si>
  <si>
    <t>Камеральные работы</t>
  </si>
  <si>
    <t>10 видов</t>
  </si>
  <si>
    <t>2.2.</t>
  </si>
  <si>
    <t>Услуги по проведению экскурсий :</t>
  </si>
  <si>
    <t>П 32</t>
  </si>
  <si>
    <t>2.15.</t>
  </si>
  <si>
    <t>Транспортные услуги, услуги по реализации животных и растений из питомников и оказание сопутствующих услуг</t>
  </si>
  <si>
    <t>2.2.1.</t>
  </si>
  <si>
    <t>В питомнике лесных бизонов</t>
  </si>
  <si>
    <t>взрослые -1 чел.</t>
  </si>
  <si>
    <t>2.16.</t>
  </si>
  <si>
    <t>Реализация животных и растений из питомников</t>
  </si>
  <si>
    <t>П15</t>
  </si>
  <si>
    <t>2.17.</t>
  </si>
  <si>
    <t>Выполнение договорных научно-исследовательских работ</t>
  </si>
  <si>
    <t>дети до 8 лет</t>
  </si>
  <si>
    <t>2.18.</t>
  </si>
  <si>
    <t>Иные услуги по сопровождению организованныъх групп</t>
  </si>
  <si>
    <t>дети от 9 до 14 лет, пенсионеры, многодетные - 1 чел. (взрослый)</t>
  </si>
  <si>
    <t>2.19.</t>
  </si>
  <si>
    <t>Консультационные услуги по ООПТ муниципального значения</t>
  </si>
  <si>
    <t>2.20.</t>
  </si>
  <si>
    <t>Путевка на охоту на ООПТ</t>
  </si>
  <si>
    <t>2.2.2.</t>
  </si>
  <si>
    <t>по установленным тарифам</t>
  </si>
  <si>
    <t>На территории природного парка "Живые алмазы Якутии"</t>
  </si>
  <si>
    <t>Взрослый 1 чел./1 экскурсия</t>
  </si>
  <si>
    <t>П 16</t>
  </si>
  <si>
    <t>Ребенок до 16 лет/ 1 экскурсия</t>
  </si>
  <si>
    <t>систем.блок</t>
  </si>
  <si>
    <t>1600</t>
  </si>
  <si>
    <t>УТВЕРЖДАЮ:</t>
  </si>
  <si>
    <t>Директор ГБУ РС(Я) "ДБР,ООПТиПП"</t>
  </si>
  <si>
    <t>__________________ Я.С. Сивцев</t>
  </si>
  <si>
    <t>"____" _______________ 2026г.</t>
  </si>
  <si>
    <t>принтер</t>
  </si>
  <si>
    <t>Калькуляция расходов на услугу по выдаче информационных справок об ООПТ республиканского значения</t>
  </si>
  <si>
    <t>суперкомпьютер</t>
  </si>
  <si>
    <t>Расчет затрат на оплату труда основного персонала, оказывающего услуги</t>
  </si>
  <si>
    <t>ИТОГО</t>
  </si>
  <si>
    <t>Должность</t>
  </si>
  <si>
    <t>Средний должностной оклад в месяц, включая начисления на выплаты по оплате труда  (руб.)</t>
  </si>
  <si>
    <t>Месячный фонд рабочего времени   (мин.)</t>
  </si>
  <si>
    <t>Норма    времени на  оказание платной услуги    (мин.)</t>
  </si>
  <si>
    <t>Затраты на оплату труда основного персонала, (руб.),                   (6) = (3)/(4) x (5)</t>
  </si>
  <si>
    <t>гл.специалист</t>
  </si>
  <si>
    <t>Калькуляция расходов на услугу по выдаче информационных справок об ООПТ республиканского значения (информационная справка с картосхемой ООПТ)</t>
  </si>
  <si>
    <t>Наименование статьи затрат</t>
  </si>
  <si>
    <t>Единица измерения</t>
  </si>
  <si>
    <t>Руб.</t>
  </si>
  <si>
    <t>Затраты, связанные с деятельностью основного персонала</t>
  </si>
  <si>
    <t>чел/час</t>
  </si>
  <si>
    <t>Затраты на материальные запасы</t>
  </si>
  <si>
    <t>руб.</t>
  </si>
  <si>
    <t>Расчет затрат на материальные запасы</t>
  </si>
  <si>
    <t>Затраты на амортизацию оборудования</t>
  </si>
  <si>
    <t>Наименование материальных запасов</t>
  </si>
  <si>
    <t xml:space="preserve">Единица измерения  </t>
  </si>
  <si>
    <t xml:space="preserve">Расход (в ед. измерения) </t>
  </si>
  <si>
    <t xml:space="preserve">Цена за единицу   </t>
  </si>
  <si>
    <t>Всего затрат материальных запасов, руб.   (6) = (4) x (5)</t>
  </si>
  <si>
    <t>бумага писчая</t>
  </si>
  <si>
    <t>ВСЕГО затрат</t>
  </si>
  <si>
    <t>шт.</t>
  </si>
  <si>
    <t>НДС, 22 %</t>
  </si>
  <si>
    <t>картридж</t>
  </si>
  <si>
    <t>гр.</t>
  </si>
  <si>
    <t>Цена на платную услугу</t>
  </si>
  <si>
    <t>Расчет суммы начисленной амортизации оборудования</t>
  </si>
  <si>
    <t>Наименование оборудования</t>
  </si>
  <si>
    <t>Балансовая стоимость</t>
  </si>
  <si>
    <t>Годовая норма износа (%)</t>
  </si>
  <si>
    <t>Годовая норма времени работы оборудования (час.)</t>
  </si>
  <si>
    <t>Время работы оборудования в процессе оказания платной услуги (час.)</t>
  </si>
  <si>
    <t>Сумма начисленной амортизации, руб.    (7) = (3) x (4) /(5)/*6)</t>
  </si>
  <si>
    <t>Накладные расходы</t>
  </si>
  <si>
    <t>Статья расходов</t>
  </si>
  <si>
    <t>Сумма</t>
  </si>
  <si>
    <t>Прогноз затрат персонала, не участвующего в оказании услуги</t>
  </si>
  <si>
    <t>Оплата труда и начисления на выплаты по оплате труда персонала, не участвующего в оказании услуги</t>
  </si>
  <si>
    <t>Нормативные затраты на командировки персонала, не участвующего в оказании услуги</t>
  </si>
  <si>
    <t xml:space="preserve">Всего прогноз затрат общехозяйственного назначения </t>
  </si>
  <si>
    <t>_________________________ Я.С. Сивцев</t>
  </si>
  <si>
    <t>Услуги связи</t>
  </si>
  <si>
    <t>Услуги по содержанию имущества</t>
  </si>
  <si>
    <t xml:space="preserve">Калькуляция расходов на услугу по выдаче справок хозяйствующим субъектам о наличии/отсутствии ООПТ республиканского значения (1 объект/ до 5 участков)                                      </t>
  </si>
  <si>
    <t>Прогноз суммы начисленной амортизации имущества общехозяйственного назначения</t>
  </si>
  <si>
    <t>Прогноз  суммарного фонда оплаты труда основного персонала  учреждения</t>
  </si>
  <si>
    <t>Расчет затрат на оплату труда персонала</t>
  </si>
  <si>
    <t>Средний должностной оклад в месяц,включая начисления на выплаты по оплате труда  (руб.)</t>
  </si>
  <si>
    <t>Коэффициент накладных затрат (5)= ((1)+(2)+(3))/4</t>
  </si>
  <si>
    <t>Затраты на основной персонал, участвующий в предоставлении платной услуги</t>
  </si>
  <si>
    <t>Итого накладные затраты (7)= (5)*(6)</t>
  </si>
  <si>
    <t>начальник управления</t>
  </si>
  <si>
    <t xml:space="preserve">Итого калькуляция расходов на услугу по выдаче справок хозяйствующим субъектам о наличии/отсутствии ООПТ республиканского значения (1 объект/ до 5 участков)                                      </t>
  </si>
  <si>
    <t>№</t>
  </si>
  <si>
    <t>Наименование затрат</t>
  </si>
  <si>
    <t>Сумма, рублей</t>
  </si>
  <si>
    <t>Затраты на  оплату труда основного персонала</t>
  </si>
  <si>
    <t>Затраты материальных запасов</t>
  </si>
  <si>
    <t>Сумма начисленной амортизации оборудования, используемого при оказании платной услуги</t>
  </si>
  <si>
    <t>Накладные затраты, относимые на платную услугу</t>
  </si>
  <si>
    <t>Всего затрат материальных запасов, руб.           (6) = (4) x (5)</t>
  </si>
  <si>
    <t>Итого затрат</t>
  </si>
  <si>
    <t xml:space="preserve">Сумма начисленной амортизации, руб.                    (7) = (3) x (4) /(5)/*6) </t>
  </si>
  <si>
    <t xml:space="preserve">Калькуляция расходов на услугу по выдаче справок хозяйствующим субъектам о наличии/отсутствии ООПТ республиканского значения (1 объект/ от 5 участков)                                      </t>
  </si>
  <si>
    <t>Сумма начисленной амортизации, руб.                  (7) = (3) x (4) /(5)/*6)</t>
  </si>
  <si>
    <t xml:space="preserve">Итого калькуляция расходов на услугу по выдаче справок хозяйствующим субъектам о наличии/отсутствии ООПТ республиканского значения (1 объект/ от 5 участков)                                      </t>
  </si>
  <si>
    <t xml:space="preserve">Калькуляция расходов на услугу по выдаче  справок о режиме и зонировании ООПТ республиканского значения с предоставлением координат зон, их площади с приложением карты ООПТ            </t>
  </si>
  <si>
    <t>вед.специалист</t>
  </si>
  <si>
    <t>гл. специалист</t>
  </si>
  <si>
    <t xml:space="preserve">Итого калькуляция расходов на услугу по выдаче  справок о режиме и зонировании ООПТ республиканского значения с предоставлением координат зон, их площади с приложением карты ООПТ              </t>
  </si>
  <si>
    <t>спец. компьютер ГИС</t>
  </si>
  <si>
    <t>Калькуляция расходов на услуги по предоставлению картосхемы 1  ООПТ республиканского значения, электронно</t>
  </si>
  <si>
    <t xml:space="preserve">Расчет суммы начисленной амортизации оборудования </t>
  </si>
  <si>
    <t>Сумма начисленной амортизации, руб.  (7) = (3) x (4) /(5)/*6)</t>
  </si>
  <si>
    <t>Итого калькуляция расходов на  услугу по предоставлению цветной картосхемы 1  ООПТ республиканского значения, электронно</t>
  </si>
  <si>
    <t>Сумма, руб.</t>
  </si>
  <si>
    <t>Цена на платную услугу (электронно)</t>
  </si>
  <si>
    <t>Калькуляция расходов на услуги по предоставлению картосхемы 1  ООПТ республиканского значения с зонированием, электронно</t>
  </si>
  <si>
    <t>Итого калькуляция расходов на  услугу по предоставлениюкартосхемы 1  ООПТ республиканского значения с зонированием, электронно</t>
  </si>
  <si>
    <t>Калькуляция расходов на услугу по предоставлению справки-перечня редких видов (подвидов, популяций животных, растений, грибов, занесенных в Красную книгу РС(Я)) хозяйствующим субъектам</t>
  </si>
  <si>
    <t>Затраты на оплату труда персонала (руб.)    (5) = (2)/(3) x (4)</t>
  </si>
  <si>
    <t xml:space="preserve">Цена за единицу, руб.   </t>
  </si>
  <si>
    <t>Всего затрат материальных запасов  (5) = (3) x (4)</t>
  </si>
  <si>
    <t xml:space="preserve">Итого калькуляция расходов  на услугу по предоставлению справки-перечня редких видов (подвидов, популяций животных, растений, грибов, занесенных в Красную книгу РС(Я)) хозяйствующим субъектам       </t>
  </si>
  <si>
    <t>Сумма,руб.</t>
  </si>
  <si>
    <t>Калькуляция расходов на услугу по предоставлению перечня редких видов (подвидов, популяций животных, растений, грибов, занесенных в Красную книгу РС(Я)) с информацией об их плотности, численности, путях миграций и других сведений хозяйствующим субъектам</t>
  </si>
  <si>
    <t>Затраты на оплату труда персонала, руб.    (5) = (2)/(3) x (4)</t>
  </si>
  <si>
    <t>Всего затрат материальных запасов, руб.  (5) = (3) x (4)</t>
  </si>
  <si>
    <t xml:space="preserve">Итого калькуляция расходов  на услугу по предоставлению перечня редких видов (подвидов, популяций животных, растений, грибов, занесенных в Красную книгу РС(Я)) с информацией об их плотности, численности, путях миграций и других сведений хозяйствующим субъектам     </t>
  </si>
  <si>
    <t xml:space="preserve">Калькуляция расходов на услугу по выдаче справок хозяйствующим субъектам о наличии/отсутствии водно-болотных угодий и ключевых орнитологических территорий  </t>
  </si>
  <si>
    <t>ведущий специалист</t>
  </si>
  <si>
    <t xml:space="preserve">Итого калькуляция расходов  на услугу по выдаче справок хозяйствующим субъектам о наличии/отсутствии водно-болотных угодий и ключевых орнитологических территорий  </t>
  </si>
  <si>
    <t xml:space="preserve">Калькуляция расходов на услугу по выдаче справок хозяйствующим субъектам оналичии/отсутствии земель лесного фонда, относительно объекта заявителя                                                                                     (по кадастровому номеру или по координатам) </t>
  </si>
  <si>
    <t>Затраты на оплату труда основного персонала, (руб.),                                    (6) = (3)/(4) x (5)</t>
  </si>
  <si>
    <t xml:space="preserve">Итого калькуляция расходов на слугу по выдаче справок хозяйствующим субъектам оналичии/отсутствии земель лесного фонда, относительно объекта заявителя    (по кадастровому номеру или по координатам) </t>
  </si>
  <si>
    <t>Калькуляция расходов на услугу по выдаче справок хозяйствующим субъектам о наличии/отсутствии земель лесного фонда, относительно земельного участка или объекта заявителя (по кадастровому номеру или по координатам) с уточнением границ лесничества, участкового лесничества, лесных кварталов, с указанием целевого назначения и категории защитных лесов</t>
  </si>
  <si>
    <t>Итого калькуляция расходов на услугу по выдаче справок хозяйствующим субъектам о наличии/отсутствии земель лесного фонда, относительно земельного участка или объекта заявителя (по кадастровому номеру или по координатам) с уточнением границ лесничества, участкового лесничества, лесных кварталов, с указанием целевого назначения и категории защитных лесов.</t>
  </si>
  <si>
    <t xml:space="preserve">Калькуляция расходов на услугу по выдаче справок хозяйствующим субъектам о наличии/отсутствии земель лесного фонда, относительно земельного участка или объекта заявителя (по кадастровому номеру или по координатам) с уточнением границ лесничества, участкового лесничества, лесных кварталов, выделов,  целевого назначения и категории защитных лесов	</t>
  </si>
  <si>
    <t xml:space="preserve">Итого калькуляция расходов на услугу по выдаче справок хозяйствующим субъектам о наличии/отсутствии земель лесного фонда, относительно земельного участка или объекта заявителя (по кадастровому номеру или по координатам) с уточнением границ лесничества, участкового лесничества, лесных кварталов,  выделов, целевого назначения и категории защитных лесов	</t>
  </si>
  <si>
    <t>НДС, 22  %</t>
  </si>
  <si>
    <t>Калькуляция на предоставление информации о состоянии численности охотничьих ресурсов и среды их обитания, путях миграции и местах концентрации охотничьих ресурсов</t>
  </si>
  <si>
    <t>Итого калькуляция расходов  на услугу по предоставлению информации о состоянии численности охотничьих ресурсов и среды их обитания, путях миграции и местах концентрации охотничьих ресурсов</t>
  </si>
  <si>
    <t>Калькуляция услуги на предоставление  информации о границах воспроизводственных участков и закрепленных охотничьих угодий, общедоступных территорий</t>
  </si>
  <si>
    <t>Итого калькуляция расходов  на предоставление информации о границах воспроизводственных участков и закрепленных охотничьих угодий, общедоступных территорий</t>
  </si>
  <si>
    <t>10</t>
  </si>
  <si>
    <t>Калькуляция расходов на услуги сопровождения  при проведении работ по обследованию, изучению, изысканию и проектировании , в том числе по транзитному проезду на территории ООПТ (в месяц)</t>
  </si>
  <si>
    <t xml:space="preserve">Расчет затрат на оплату труда персонала - мониторинг </t>
  </si>
  <si>
    <t>Расчет расхода ГСМ</t>
  </si>
  <si>
    <t>Госинспектор</t>
  </si>
  <si>
    <t xml:space="preserve">Согласно распоряжению Минтранса России от 14.03.2008 N АМ-23-р (ред. от 14.05.2014) "О введении в действие методических рекомендаций "Нормы расхода топлив и смазочных материалов на автомобильном транспорте" </t>
  </si>
  <si>
    <t>Согласно технических характеристик Бурана СБ-640А контрольный расход топлива на 100 км пути — 21—25 л</t>
  </si>
  <si>
    <t>Длина маршрута, км</t>
  </si>
  <si>
    <t>Итого расстояние сопровождение+объезд</t>
  </si>
  <si>
    <t>Норма расхода ГСМ, л/100 км</t>
  </si>
  <si>
    <t>Расход ГСМ на заданное расстояние</t>
  </si>
  <si>
    <t>Обеспеченность ТС</t>
  </si>
  <si>
    <t>Расход ГСМ, л</t>
  </si>
  <si>
    <t>УАЗ-31512 (ЗМЗ-4025.10-4L-2,45-90-4M)</t>
  </si>
  <si>
    <t xml:space="preserve">Старший инспектор </t>
  </si>
  <si>
    <t>Буран СБ-640А</t>
  </si>
  <si>
    <t>Расчет затрат на сопровождение и обеспечение дополнительного контроля за режимом ООПТ</t>
  </si>
  <si>
    <t>Тип работы</t>
  </si>
  <si>
    <t>Средний тариф в месяц, включая начисления на выплаты по оплате труда  (руб.)</t>
  </si>
  <si>
    <t>Время работы оборудования в процессе оказания услуги (час.)</t>
  </si>
  <si>
    <t>Затраты на оплату труда персонала (руб.)    (7) = (4)/(5) x (6)</t>
  </si>
  <si>
    <t>снегоход Буран</t>
  </si>
  <si>
    <t>Дополнительные контрольные мероприятия</t>
  </si>
  <si>
    <t>Инспектор, возможно по Договору ГПХ*</t>
  </si>
  <si>
    <t>Автомобиль "УАЗ"</t>
  </si>
  <si>
    <t>спутниковый телефон</t>
  </si>
  <si>
    <t>* В расчет услуг  включена оплата трудового времени, питания, затрат на личный транспорт и гсм.</t>
  </si>
  <si>
    <t>Объем работ по сопровождению и дополнительному контролю за соблюдением режима ООПТ при транзитном проезде легкового транспорта Заказчика рассчитан как 1 услуга по сопровождению в месяц и 1 контрольный обход/объезд территории, прилегающей к маршруту транзита</t>
  </si>
  <si>
    <t>Расчет длины маршрута транзита</t>
  </si>
  <si>
    <t>Общая площадь территорий ООПТ республиканского значения</t>
  </si>
  <si>
    <t xml:space="preserve"> тыс. га</t>
  </si>
  <si>
    <t>Расчет накладных расходов</t>
  </si>
  <si>
    <t>Количество ООПТ</t>
  </si>
  <si>
    <t>Средняя площадь ООПТ</t>
  </si>
  <si>
    <t>тыс. га</t>
  </si>
  <si>
    <t>Средний радиус ООПТ</t>
  </si>
  <si>
    <t>км</t>
  </si>
  <si>
    <t xml:space="preserve">Длина маршрута транзита = Средний диаметр ООПТ </t>
  </si>
  <si>
    <t>Расчет времени, затрачиваемого на прохождение маршрута</t>
  </si>
  <si>
    <t>Обеспеченность ООПТ снегоходами составляет 53,2%, автомашинами - 13%, источник - отчет Отдела АХО</t>
  </si>
  <si>
    <t>Максимально допустимая скорость легкового автомобиля вне населенного пункта 90 км/час. Источник - Постановление Правительства РФ от 23.10.1993 N 1090 (ред. от 19.12.2014) "О Правилах дорожного движения" (с изм. и доп., вступ. в силу с 01.01.2015)</t>
  </si>
  <si>
    <t>Средний расход рабочего времени госинспектора на прохождение маршрута</t>
  </si>
  <si>
    <t>Скорость, км/ч</t>
  </si>
  <si>
    <t>Время,ч</t>
  </si>
  <si>
    <t>Средний расход времени, ч</t>
  </si>
  <si>
    <t>пеший проводник</t>
  </si>
  <si>
    <t>автомобиль УАЗ</t>
  </si>
  <si>
    <t>снегоходы Буран</t>
  </si>
  <si>
    <t>Средний расход  времени на обход/объезд</t>
  </si>
  <si>
    <t xml:space="preserve">Итого калькуляция расходов  на услуги сопровождения при проведении работ по обследованию, изучению, изысканию и проектировании , в том числе по транзитному проезду на территории ООПТ </t>
  </si>
  <si>
    <t xml:space="preserve">Наименование </t>
  </si>
  <si>
    <t>гсм бензин Р-92</t>
  </si>
  <si>
    <t>л.</t>
  </si>
  <si>
    <t>масло моторное, 5% объема ГСМ</t>
  </si>
  <si>
    <t>из них  транзитный проезд ( от марки техники)</t>
  </si>
  <si>
    <t>1400-4300</t>
  </si>
  <si>
    <t>Калькуляция расходов по проведению экскурсий в бизонарии   (взрослые и дети)</t>
  </si>
  <si>
    <t>Затраты на оплату труда персонала (руб.)    (6) = (3)/(4) x (5)</t>
  </si>
  <si>
    <t>работник бизонария</t>
  </si>
  <si>
    <t>Всего затрат материальных запасов  (6) = (4) x (5)</t>
  </si>
  <si>
    <t>гсм бензин аи-92</t>
  </si>
  <si>
    <t>масло моторное</t>
  </si>
  <si>
    <t>Итого калькуляция расходов  на услугу по проведению экскурсий в бизонарии   (взрослые и дети)</t>
  </si>
  <si>
    <t>автомобиль "УАЗ"</t>
  </si>
  <si>
    <t xml:space="preserve">на 1 -го   чел. </t>
  </si>
  <si>
    <t>Цена на платную услугу (взрослый)</t>
  </si>
  <si>
    <t>Цена на платную услугу (дети)</t>
  </si>
  <si>
    <t>Услуги по проведению экскурсии на ПП "Живые алмазы Якутии"</t>
  </si>
  <si>
    <t>Годовая норма времени работы оборудования (день)</t>
  </si>
  <si>
    <t>Сумма начисленной амортизации, (руб.) (6) = (2) x (3) /(4)/*5)</t>
  </si>
  <si>
    <t>Информационные аншлаги</t>
  </si>
  <si>
    <t>365</t>
  </si>
  <si>
    <t>госинспектор</t>
  </si>
  <si>
    <t>Итого калькуляция расходов на проведение экскурсии на ПП "Живые алмазы Якутии"</t>
  </si>
  <si>
    <t>Затраты, связанные с деятельностью производственного персонала</t>
  </si>
  <si>
    <t xml:space="preserve">Цена за единицу, (руб.)   </t>
  </si>
  <si>
    <t>Всего затрат материальных запасов, (руб.)   (5) = (3) x (4)</t>
  </si>
  <si>
    <t>мусорные баки</t>
  </si>
  <si>
    <t xml:space="preserve">Накладные расходы </t>
  </si>
  <si>
    <t>Итого  1 экскурсия на 1 взрослого</t>
  </si>
  <si>
    <t>Итого  1 экскурсия на 1  ребенка</t>
  </si>
  <si>
    <t>Итого калькуляция расходов на услугу  сопровождения проводника по природно-ориентированному маршруту  на ООПТ республиканского значения и общедоступных угодьях РС(Я) (сбор дикоросов)</t>
  </si>
  <si>
    <t xml:space="preserve">наименование </t>
  </si>
  <si>
    <t>проводник</t>
  </si>
  <si>
    <t>ВСЕГО</t>
  </si>
  <si>
    <t>Итого на 1 чел. на 1 день</t>
  </si>
  <si>
    <t>НДС, 22%</t>
  </si>
  <si>
    <t>скамья</t>
  </si>
  <si>
    <t>Калькуляция на услуги по предоставлению оборудованных пикниковых точек (беседка, мангал, стол, шампуры, урна, заготовленные дрова, санитарные точки)</t>
  </si>
  <si>
    <t>Затраты  оборудования, используемого  в процессе оказания услуги</t>
  </si>
  <si>
    <t xml:space="preserve"> Наименование ОС, мат.запасов</t>
  </si>
  <si>
    <t>Стоим-ть</t>
  </si>
  <si>
    <t>Амортизационные отчисления</t>
  </si>
  <si>
    <t>Прочие расходы</t>
  </si>
  <si>
    <t xml:space="preserve">Сумма </t>
  </si>
  <si>
    <t>мангал</t>
  </si>
  <si>
    <t>беседка</t>
  </si>
  <si>
    <t>шампур</t>
  </si>
  <si>
    <t>дрова</t>
  </si>
  <si>
    <t>урна</t>
  </si>
  <si>
    <t>стол</t>
  </si>
  <si>
    <t>Работник базы (уборка)</t>
  </si>
  <si>
    <t>туалет</t>
  </si>
  <si>
    <t>Затраты персонала, непосредственно участвующего в процессе оказания платной услуги</t>
  </si>
  <si>
    <t>чел./час</t>
  </si>
  <si>
    <t>Итого стоимость услуги на группу до 10 чел. на 1 день</t>
  </si>
  <si>
    <t>Калькуляция расходов на услуги сопровождения на туристическом маршруте "Лето на реке Синяя"  (Горный район)</t>
  </si>
  <si>
    <t>водитель</t>
  </si>
  <si>
    <t>Итого калькуляция расходов  на  услугу сопровождения на туристическом маршруте "Лето на реке Синяя"  (Горный район)</t>
  </si>
  <si>
    <t>автомобиль</t>
  </si>
  <si>
    <t xml:space="preserve">Цена на платную услугу </t>
  </si>
  <si>
    <t>лодка</t>
  </si>
  <si>
    <t>лодочный мотор</t>
  </si>
  <si>
    <t>Калькуляция расходов на услуги сопровождения на туристическом маршруте "Зима на реке Синяя"  (Горный район)</t>
  </si>
  <si>
    <t>Итого калькуляция расходов  на  услугу сопровождения на туристическом маршруте "Зима на реке Синяя"  (Горный район)</t>
  </si>
  <si>
    <t>Калькуляция расходов на услуги сопровождения  на туристическом маршруте  "Питомник лесных бизонов  "Тымпынай"  (Горный район)"</t>
  </si>
  <si>
    <t>Итого калькуляция расходов  на  услугу сопровождения на туристическом маршруте  "Питомник лесных бизонов  "Тымпынай"  (Горный район)"</t>
  </si>
  <si>
    <t>Сумма начисленной амортизации, руб.                     (7) = (3) x (4) /(5)/*6)</t>
  </si>
  <si>
    <t>Калькуляция расходов на услуги сопровождения  на туристическом маршруте  "Природный парк  "Момский"  (Момский район)" продолжительность 10 суток</t>
  </si>
  <si>
    <t>Итого калькуляция расходов  на  услугу сопровождения на туристическом маршруте е  "Природный парк  "Момский"  (Момский район)" продолжительность 10 суток</t>
  </si>
  <si>
    <t>Калькуляция расходов на услуги сопровождения на туристическом маршруте "Сплав по реке Синяя"  (Горный район) - продолжительность 8 суток</t>
  </si>
  <si>
    <t xml:space="preserve"> МРОТ (руб.)</t>
  </si>
  <si>
    <t>Итого калькуляция расходов  на  услугу сопровождения на туристическом маршруте "Сплав по реке Синяя"  (Горный район)</t>
  </si>
  <si>
    <t>гсм бензин аи-92 на л/м</t>
  </si>
  <si>
    <t xml:space="preserve">Калькуляция на услуги  по предоставлению оборудованных стоянок при сплаве по территории ООПТ </t>
  </si>
  <si>
    <t>Стоимость, руб.</t>
  </si>
  <si>
    <t xml:space="preserve">Итого калькуляция расходов  на  услугу по предоставлению оборудованных стоянок при сплаве по территории ООПТ </t>
  </si>
  <si>
    <t>Итого стоимость услуги на группу за весь маршрут</t>
  </si>
  <si>
    <t>Калькуляция на услуги по обслуживанию организованных групп (заготовка дров,услуги повара, уборка)</t>
  </si>
  <si>
    <t>1.</t>
  </si>
  <si>
    <t xml:space="preserve">Работник базы </t>
  </si>
  <si>
    <t>Итого калькуляция расходов  на  услугу по обслуживанию организованных групп (заготовка дров,услуги повара, уборка)</t>
  </si>
  <si>
    <t xml:space="preserve">Итого </t>
  </si>
  <si>
    <t>НДС 22 %</t>
  </si>
  <si>
    <t>Итого стоимость услуги на группу свыше 10 чел. на 1 день</t>
  </si>
  <si>
    <t>гостевой дом</t>
  </si>
  <si>
    <t>Калькуляция  услуги по предоставлению в пользование  оборудованных  гостевых помещений (Летний гостевой дом)</t>
  </si>
  <si>
    <t>Работник базы</t>
  </si>
  <si>
    <t>оборудование и санточки</t>
  </si>
  <si>
    <t>Стоимость,руб.</t>
  </si>
  <si>
    <t>Прочие расходы,  %</t>
  </si>
  <si>
    <t>Сумма платы, руб.</t>
  </si>
  <si>
    <t>Итого калькуляция расходов на услугу по предоставлению в пользование  оборудованных  гостевых помещений (Летний гостевой дом)</t>
  </si>
  <si>
    <t xml:space="preserve">Итого: себестоимость услуги </t>
  </si>
  <si>
    <t>Прочие расходы (5%)</t>
  </si>
  <si>
    <t>Итого стоимость услуги   в сутки</t>
  </si>
  <si>
    <t>Калькуляция  услуги по предоставлению в пользование  оборудованных  гостевых помещений (Гостевой дом)</t>
  </si>
  <si>
    <t>Норма    времени на  оказание платной услуги                       (мин.)</t>
  </si>
  <si>
    <t>Итого калькуляция расходов на услугу по предоставлению в пользование  оборудованных  гостевых помещений (Гостевой дом)</t>
  </si>
  <si>
    <t>Итого стоимость услуги   в сутки до 10 чел.</t>
  </si>
  <si>
    <t>Стоимость услуги   в день ( 12 час.) до 10 чел.</t>
  </si>
  <si>
    <t>Стоимость услуги более 10 чел. на 1 допместо</t>
  </si>
  <si>
    <t>Оборудование и санточки</t>
  </si>
  <si>
    <t>Калькуляция  услуги по предоставлению в пользование  оборудованных  гостевых помещений (Балаган)</t>
  </si>
  <si>
    <t>Балаган</t>
  </si>
  <si>
    <t>Итого калькуляция расходов на услугу по предоставлению в пользование  оборудованных  гостевых помещений (Балаган)</t>
  </si>
  <si>
    <t>Итого стоимость услуги   в сутки до 20 чел.</t>
  </si>
  <si>
    <t>Стоимость услуги   в день ( 12 час.) до 20 чел.</t>
  </si>
  <si>
    <t>Стоимость услуги более 20 чел. на 1 допместо</t>
  </si>
  <si>
    <t>Калькуляция  услуги по предоставлению в пользование объектов размещения на территории кордонов ООПТ республиканского значения</t>
  </si>
  <si>
    <t>Охранник  кордона (организация порядка)</t>
  </si>
  <si>
    <t>Итого  себестоимость услуги на группу из 10 чел.</t>
  </si>
  <si>
    <t>Итого стоимость в месяц</t>
  </si>
  <si>
    <t>Итого стоимость в день на 1 чел.</t>
  </si>
  <si>
    <t>Калькуляция на услуги по предоставлению мест под палатку в кемпинговой зоне ООПТ</t>
  </si>
  <si>
    <t>Уборка</t>
  </si>
  <si>
    <t>санитарные точки</t>
  </si>
  <si>
    <t>Итого калькуляция расходов на услугу по предоставлению мест под палатку в кемпинговой зоне ООПТ</t>
  </si>
  <si>
    <t>Стоимость услуги на 1 палатку на 1 сутки</t>
  </si>
  <si>
    <t>Сумма начисленной амортизации, руб.                            (7) = (3) x (4) /(5)/*6)</t>
  </si>
  <si>
    <t>буран</t>
  </si>
  <si>
    <t>Калькуляция расходов на услугу по проведению зимнего маршрутного учета (полевые)</t>
  </si>
  <si>
    <t>Итого калькуляция расходов  на  услугу по проведению зимнего маршрутного учета (полевые)</t>
  </si>
  <si>
    <t xml:space="preserve">Цена за литр, руб   </t>
  </si>
  <si>
    <t>л/час</t>
  </si>
  <si>
    <t>Итого калькуляция расходов  на  услугу по расчету численности охотничьих ресурсов на охотугодьях (камеральные работы)</t>
  </si>
  <si>
    <t>Калькуляция расходов на услугу по расчету численности охотничьих ресурсов на охотугодьях (камеральные работы)</t>
  </si>
  <si>
    <t>Цена на платную услугу (10 видов)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</si>
</sst>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0.00%" formatCode="0.00%" numFmtId="1004"/>
    <numFmt co:extendedFormatCode="_(\$* #,##0.00_);_(\$* (#,##0.00);_(\$* -??_);_(@_)" formatCode="_(\$* #,##0.00_);_(\$* (#,##0.00);_(\$* -??_);_(@_)" numFmtId="1010"/>
    <numFmt co:extendedFormatCode="General" formatCode="General" numFmtId="1000"/>
    <numFmt co:extendedFormatCode="#,##0.00" formatCode="#,##0.00" numFmtId="1009"/>
    <numFmt co:extendedFormatCode="0%" formatCode="0%" numFmtId="1007"/>
    <numFmt co:extendedFormatCode="0.0%" formatCode="0.0%" numFmtId="1012"/>
    <numFmt co:extendedFormatCode="_(* #,##0.00_);_(* (#,##0.00);_(* -??_);_(@_)" formatCode="_(* #,##0.00_);_(* (#,##0.00);_(* -??_);_(@_)" numFmtId="1006"/>
    <numFmt co:extendedFormatCode="dd/mm/yyyy" formatCode="dd/mm/yyyy" numFmtId="1002"/>
    <numFmt co:extendedFormatCode="0.00" formatCode="0.00" numFmtId="1008"/>
    <numFmt co:extendedFormatCode="@" formatCode="@" numFmtId="1001"/>
    <numFmt co:extendedFormatCode="#,##0" formatCode="#,##0" numFmtId="1003"/>
    <numFmt co:extendedFormatCode="0" formatCode="0" numFmtId="1005"/>
    <numFmt co:extendedFormatCode="0.0" formatCode="0.0" numFmtId="1011"/>
  </numFmts>
  <fonts count="15">
    <font>
      <name val="Calibri"/>
      <sz val="11"/>
    </font>
    <font>
      <name val="Arial"/>
      <sz val="10"/>
    </font>
    <font>
      <name val="Times New Roman"/>
      <sz val="12"/>
    </font>
    <font>
      <name val="Times New Roman"/>
      <b val="true"/>
      <sz val="12"/>
    </font>
    <font>
      <name val="Times New Roman"/>
      <b val="true"/>
      <color rgb="000000" tint="0"/>
      <sz val="12"/>
    </font>
    <font>
      <name val="Arial"/>
      <color rgb="0000FF" tint="0"/>
      <sz val="10"/>
      <u val="single"/>
    </font>
    <font>
      <name val="Times New Roman"/>
      <color rgb="000000" tint="0"/>
      <sz val="12"/>
    </font>
    <font>
      <name val="Calibri"/>
      <sz val="10"/>
    </font>
    <font>
      <name val="Times New Roman"/>
      <sz val="13"/>
    </font>
    <font>
      <name val="Times New Roman"/>
      <sz val="8"/>
    </font>
    <font>
      <name val="Calibri"/>
      <sz val="8"/>
    </font>
    <font>
      <name val="Calibri"/>
      <b val="true"/>
      <sz val="11"/>
    </font>
    <font>
      <name val="Calibri"/>
      <b val="true"/>
      <sz val="10"/>
    </font>
    <font>
      <name val="Times New Roman"/>
      <b val="true"/>
      <color rgb="FF0000" tint="0"/>
      <sz val="12"/>
    </font>
    <font>
      <name val="Arial"/>
      <sz val="12"/>
    </font>
  </fonts>
  <fills count="6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rgb="99CCFF" tint="0"/>
      </patternFill>
    </fill>
    <fill>
      <patternFill patternType="solid">
        <fgColor rgb="CCCCFF" tint="0"/>
      </patternFill>
    </fill>
    <fill>
      <patternFill patternType="solid">
        <fgColor rgb="FFFF00" tint="0"/>
      </patternFill>
    </fill>
  </fills>
  <borders count="494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</cellStyleXfs>
  <cellXfs count="5263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2" numFmtId="1000" quotePrefix="false">
      <alignment horizontal="center" shrinkToFit="false" textRotation="0" vertical="center" wrapText="false"/>
      <protection hidden="false" locked="true"/>
    </xf>
    <xf applyAlignment="true" applyBorder="false" applyFill="false" applyFont="true" applyNumberFormat="true" borderId="0" fillId="0" fontId="2" numFmtId="1001" quotePrefix="false">
      <alignment horizontal="general" textRotation="0" vertical="bottom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general" shrinkToFit="false" textRotation="0" vertical="center" wrapText="false"/>
      <protection hidden="false" locked="true"/>
    </xf>
    <xf applyAlignment="true" applyBorder="false" applyFill="false" applyFont="true" applyNumberFormat="true" borderId="0" fillId="0" fontId="2" numFmtId="1000" quotePrefix="false">
      <alignment horizontal="general" shrinkToFit="false" textRotation="0" vertical="bottom" wrapText="false"/>
      <protection hidden="false" locked="true"/>
    </xf>
    <xf applyAlignment="true" applyBorder="false" applyFill="false" applyFont="true" applyNumberFormat="true" borderId="0" fillId="0" fontId="3" numFmtId="1000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1" fillId="2" fontId="2" numFmtId="1002" quotePrefix="false">
      <alignment horizontal="center" shrinkToFit="false" textRotation="0" vertical="center" wrapText="false"/>
      <protection hidden="false" locked="true"/>
    </xf>
    <xf applyAlignment="true" applyBorder="false" applyFill="false" applyFont="true" applyNumberFormat="true" borderId="0" fillId="0" fontId="3" numFmtId="1000" quotePrefix="false">
      <alignment horizontal="right" indent="0" shrinkToFit="false" textRotation="0" vertical="center" wrapText="false"/>
      <protection hidden="false" locked="true"/>
    </xf>
    <xf applyAlignment="true" applyBorder="true" applyFill="true" applyFont="true" applyNumberFormat="true" borderId="2" fillId="2" fontId="2" numFmtId="1001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2" fillId="2" fontId="2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right" indent="0" shrinkToFit="false" textRotation="0" vertical="bottom" wrapText="false"/>
      <protection hidden="false" locked="true"/>
    </xf>
    <xf applyAlignment="true" applyBorder="true" applyFill="true" applyFont="true" applyNumberFormat="true" borderId="2" fillId="2" fontId="2" numFmtId="1003" quotePrefix="false">
      <alignment horizontal="center" shrinkToFit="false" textRotation="0" vertical="center" wrapText="false"/>
      <protection hidden="false" locked="true"/>
    </xf>
    <xf applyAlignment="true" applyBorder="false" applyFill="false" applyFont="true" applyNumberFormat="true" borderId="0" fillId="0" fontId="4" numFmtId="1001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" fillId="2" fontId="5" numFmtId="1000" quotePrefix="false">
      <alignment horizontal="center" shrinkToFit="false" textRotation="0" vertical="center" wrapText="false"/>
      <protection hidden="false" locked="true"/>
    </xf>
    <xf applyAlignment="true" applyBorder="false" applyFill="false" applyFont="true" applyNumberFormat="true" borderId="0" fillId="0" fontId="2" numFmtId="1004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" fillId="2" fontId="2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" fillId="0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2" fillId="0" fontId="4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" fillId="0" fontId="4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2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6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" fillId="2" fontId="2" numFmtId="1000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" fillId="2" fontId="2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7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2" fillId="0" fontId="6" numFmtId="1001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" fillId="0" fontId="6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2" fillId="0" fontId="6" numFmtId="1003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2" fillId="0" fontId="5" numFmtId="1000" quotePrefix="false">
      <alignment horizontal="center" shrinkToFit="false" textRotation="0" vertical="center" wrapText="false"/>
      <protection hidden="false" locked="true"/>
    </xf>
    <xf applyAlignment="true" applyBorder="false" applyFill="false" applyFont="true" applyNumberFormat="true" borderId="0" fillId="0" fontId="2" numFmtId="1000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" fillId="0" fontId="2" numFmtId="1003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8" fillId="0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2" fillId="2" fontId="5" numFmtId="1003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7" fillId="0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2" fillId="0" fontId="2" numFmtId="1001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2" fillId="2" fontId="2" numFmtId="1005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7" fillId="0" fontId="2" numFmtId="1003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7" fillId="0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" fillId="2" fontId="2" numFmtId="1001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" fillId="2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" fillId="0" fontId="2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1" fillId="2" fontId="2" numFmtId="1001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" fillId="2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3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4" fillId="2" fontId="2" numFmtId="1001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" fillId="2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6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7" fillId="2" fontId="2" numFmtId="1001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" fillId="2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9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0" fillId="2" fontId="2" numFmtId="1001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" fillId="2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" fillId="2" fontId="2" numFmtId="1001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22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3" fillId="2" fontId="2" numFmtId="1001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" fillId="2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" fillId="2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5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6" fillId="2" fontId="2" numFmtId="1001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7" fillId="2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7" fillId="2" fontId="2" numFmtId="1001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2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8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9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0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1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" fillId="2" fontId="2" numFmtId="1003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2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2" fillId="2" fontId="6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" fillId="2" fontId="2" numFmtId="1000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3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" fillId="2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" fillId="2" fontId="2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4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4" fillId="2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1" fillId="0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" fillId="2" fontId="2" numFmtId="1006" quotePrefix="false">
      <alignment horizontal="center" shrinkToFit="false" textRotation="0" vertical="center" wrapText="false"/>
      <protection hidden="false" locked="true"/>
    </xf>
    <xf applyAlignment="true" applyBorder="false" applyFill="false" applyFont="true" applyNumberFormat="true" borderId="0" fillId="0" fontId="4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35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6" fillId="2" fontId="2" numFmtId="1001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" fillId="2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8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9" fillId="2" fontId="2" numFmtId="1001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" fillId="2" fontId="5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41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42" fillId="2" fontId="2" numFmtId="1001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" fillId="2" fontId="5" numFmtId="1000" quotePrefix="false">
      <alignment horizontal="center" shrinkToFit="false" textRotation="0" vertical="center" wrapText="false"/>
      <protection hidden="false" locked="true"/>
    </xf>
    <xf applyAlignment="true" applyBorder="false" applyFill="false" applyFont="true" applyNumberFormat="true" borderId="0" fillId="0" fontId="7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44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" fillId="0" fontId="2" numFmtId="1007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2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" fillId="0" fontId="2" numFmtId="1001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4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9" fillId="0" fontId="2" numFmtId="1000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left" indent="0" shrinkToFit="false" textRotation="0" vertical="bottom" wrapText="false"/>
      <protection hidden="false" locked="true"/>
    </xf>
    <xf applyAlignment="true" applyBorder="false" applyFill="false" applyFont="true" applyNumberFormat="true" borderId="0" fillId="0" fontId="3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0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5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4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7" fillId="0" fontId="2" numFmtId="1008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3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5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60" fillId="0" fontId="2" numFmtId="1000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61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6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6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64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2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65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6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6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68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6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4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6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7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9" fillId="0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7" numFmtId="1000" quotePrefix="false">
      <alignment horizontal="general" shrinkToFit="false" textRotation="0" vertical="center" wrapText="false"/>
      <protection hidden="false" locked="true"/>
    </xf>
    <xf applyAlignment="true" applyBorder="false" applyFill="false" applyFont="true" applyNumberFormat="true" borderId="0" fillId="0" fontId="2" numFmtId="1000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0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1" fillId="0" fontId="2" numFmtId="1009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8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" fillId="0" fontId="3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2" fillId="0" fontId="2" numFmtId="1008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5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96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97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8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0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01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10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0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5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8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09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10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11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2" numFmtId="1003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112" fillId="0" fontId="2" numFmtId="1003" quotePrefix="false">
      <alignment horizontal="right" indent="0" shrinkToFit="false" textRotation="0" vertical="center" wrapText="false"/>
      <protection hidden="false" locked="true"/>
    </xf>
    <xf applyAlignment="true" applyBorder="true" applyFill="true" applyFont="true" applyNumberFormat="true" borderId="113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14" fillId="3" fontId="3" numFmtId="1008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7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18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119" fillId="0" fontId="2" numFmtId="1003" quotePrefix="false">
      <alignment horizontal="right" indent="0" shrinkToFit="false" textRotation="0" vertical="center" wrapText="false"/>
      <protection hidden="false" locked="true"/>
    </xf>
    <xf applyAlignment="true" applyBorder="false" applyFill="false" applyFont="true" applyNumberFormat="true" borderId="0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" fillId="0" fontId="3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2" fillId="2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true" applyFont="true" applyNumberFormat="true" borderId="120" fillId="2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121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2" fillId="2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true" applyFont="true" applyNumberFormat="true" borderId="123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124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5" fillId="2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12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2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2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29" fillId="0" fontId="2" numFmtId="1003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13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3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133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134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135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13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3" numFmtId="1008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13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8" fillId="0" fontId="3" numFmtId="1008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139" fillId="0" fontId="3" numFmtId="1008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14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41" fillId="0" fontId="2" numFmtId="1003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14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4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4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4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146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146" fillId="0" fontId="3" numFmtId="1008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147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4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1" fillId="0" fontId="2" numFmtId="1003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15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5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" fillId="2" fontId="3" numFmtId="1000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146" fillId="2" fontId="3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15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5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9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" fillId="3" fontId="3" numFmtId="1003" quotePrefix="false">
      <alignment horizontal="right" indent="0" textRotation="0" vertical="center" wrapText="true"/>
      <protection hidden="false" locked="true"/>
    </xf>
    <xf applyAlignment="true" applyBorder="true" applyFill="false" applyFont="true" applyNumberFormat="true" borderId="16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1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62" fillId="3" fontId="3" numFmtId="1003" quotePrefix="false">
      <alignment horizontal="right" indent="0" textRotation="0" vertical="center" wrapText="true"/>
      <protection hidden="false" locked="true"/>
    </xf>
    <xf applyAlignment="true" applyBorder="true" applyFill="true" applyFont="true" applyNumberFormat="true" borderId="2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63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64" fillId="3" fontId="3" numFmtId="1009" quotePrefix="false">
      <alignment horizontal="center" textRotation="0" vertical="bottom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8" numFmtId="1000" quotePrefix="false">
      <alignment horizontal="general" textRotation="0" vertical="top" wrapText="true"/>
      <protection hidden="false" locked="true"/>
    </xf>
    <xf applyAlignment="true" applyBorder="false" applyFill="false" applyFont="true" applyNumberFormat="true" borderId="0" fillId="0" fontId="8" numFmtId="1000" quotePrefix="false">
      <alignment horizontal="justify" textRotation="0" vertical="top" wrapText="true"/>
      <protection hidden="false" locked="true"/>
    </xf>
    <xf applyAlignment="true" applyBorder="true" applyFill="false" applyFont="true" applyNumberFormat="true" borderId="16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1" fillId="0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3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9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" fillId="0" fontId="3" numFmtId="1000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" fillId="0" fontId="2" numFmtId="1009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18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8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5" fillId="0" fontId="2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23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1" fillId="0" fontId="2" numFmtId="1000" quotePrefix="false">
      <alignment horizontal="right" indent="0" textRotation="0" vertical="bottom" wrapText="true"/>
      <protection hidden="false" locked="true"/>
    </xf>
    <xf applyAlignment="true" applyBorder="true" applyFill="false" applyFont="true" applyNumberFormat="true" borderId="2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52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5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6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7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79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1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3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" fillId="3" fontId="3" numFmtId="1009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29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91" fillId="0" fontId="2" numFmtId="1009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9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93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9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95" fillId="0" fontId="2" numFmtId="1003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6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7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9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0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0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" fillId="0" fontId="3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0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1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11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3" numFmtId="1003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1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4" fillId="0" fontId="3" numFmtId="1003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1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6" fillId="0" fontId="3" numFmtId="1003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1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2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23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" fillId="2" fontId="3" numFmtId="1003" quotePrefix="false">
      <alignment horizontal="right" indent="0" shrinkToFit="false" textRotation="0" vertical="center" wrapText="fals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32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2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2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2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2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2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81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32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33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34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35" fillId="0" fontId="3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3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43" fillId="0" fontId="2" numFmtId="1000" quotePrefix="false">
      <alignment horizontal="right" indent="0" textRotation="0" vertical="bottom" wrapText="true"/>
      <protection hidden="false" locked="true"/>
    </xf>
    <xf applyAlignment="true" applyBorder="true" applyFill="true" applyFont="true" applyNumberFormat="true" borderId="34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45" fillId="0" fontId="2" numFmtId="1000" quotePrefix="false">
      <alignment horizontal="right" indent="0" textRotation="0" vertical="bottom" wrapText="true"/>
      <protection hidden="false" locked="true"/>
    </xf>
    <xf applyAlignment="true" applyBorder="true" applyFill="true" applyFont="true" applyNumberFormat="true" borderId="2" fillId="2" fontId="3" numFmtId="1009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34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8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4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5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8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5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0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1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6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4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6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6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6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6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6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70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7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6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7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4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7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8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5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8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8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8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4" fillId="2" fontId="3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7" numFmtId="1008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2" fillId="3" fontId="3" numFmtId="1003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39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0" fillId="0" fontId="2" numFmtId="1000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1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02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3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0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" fillId="0" fontId="2" numFmtId="1007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7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2" fillId="0" fontId="3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3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4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5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6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7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1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0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21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6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7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0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4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6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37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2" fillId="0" fontId="2" numFmtId="1000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43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" fillId="2" fontId="3" numFmtId="1003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4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5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5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5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5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5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1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6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7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71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2" fillId="0" fontId="2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7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7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75" fillId="0" fontId="2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7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7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7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7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8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81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2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3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4" fillId="0" fontId="2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8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" fillId="3" fontId="3" numFmtId="1003" quotePrefix="false">
      <alignment horizontal="right" indent="0" shrinkToFit="false" textRotation="0" vertical="bottom" wrapText="false"/>
      <protection hidden="false" locked="true"/>
    </xf>
    <xf applyAlignment="true" applyBorder="true" applyFill="false" applyFont="true" applyNumberFormat="true" borderId="494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95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96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97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98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99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00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502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03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04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05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06" fillId="0" fontId="2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3" fontId="3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07" fillId="3" fontId="3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08" fillId="3" fontId="3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09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510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511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512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513" fillId="0" fontId="2" numFmtId="1000" quotePrefix="false">
      <alignment horizontal="right" indent="0" textRotation="0" vertical="bottom" wrapText="true"/>
      <protection hidden="false" locked="true"/>
    </xf>
    <xf applyAlignment="true" applyBorder="true" applyFill="false" applyFont="true" applyNumberFormat="true" borderId="514" fillId="0" fontId="2" numFmtId="1000" quotePrefix="false">
      <alignment horizontal="right" indent="0" textRotation="0" vertical="bottom" wrapText="true"/>
      <protection hidden="false" locked="true"/>
    </xf>
    <xf applyAlignment="true" applyBorder="true" applyFill="false" applyFont="true" applyNumberFormat="true" borderId="51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1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1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1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1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2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2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2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2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52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2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2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2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2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3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3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53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3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3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3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3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3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3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3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4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4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4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4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44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545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546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4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4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4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5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5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5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5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54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55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5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57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5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5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60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6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56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6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64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6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6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67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6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56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7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71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7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7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74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7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7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7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78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7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80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581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8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83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8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8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8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8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8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89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9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9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9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9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9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9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9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9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5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59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0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0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0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0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0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1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1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1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1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1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1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1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1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2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2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2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2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2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2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2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2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2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2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3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3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3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3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3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3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3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3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3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3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4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4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4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4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4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4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4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4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4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4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5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5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5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5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5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5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5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5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5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5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6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6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6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66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66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66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66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66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66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66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67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7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7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7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7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7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7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7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7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7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8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8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8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8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8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68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68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8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8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8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9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9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9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69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69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69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69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69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69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69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70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70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0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0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0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0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0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1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1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1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1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1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17" fillId="0" fontId="2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8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1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1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21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2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2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2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2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25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2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2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2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2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3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3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3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34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73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3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3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38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73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40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74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4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4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4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4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46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47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48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49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5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5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5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5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5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5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5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5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5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75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6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6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6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6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6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6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6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6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6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6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70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71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772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73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7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7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7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7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7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7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78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8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8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83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8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85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86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87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8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8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9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9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9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793" fillId="3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9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795" fillId="3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79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9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7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99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8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01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8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03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8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05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80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0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0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0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10" fillId="0" fontId="2" numFmtId="1000" quotePrefix="false">
      <alignment horizontal="right" indent="0" textRotation="0" vertical="bottom" wrapText="true"/>
      <protection hidden="false" locked="true"/>
    </xf>
    <xf applyAlignment="true" applyBorder="true" applyFill="false" applyFont="true" applyNumberFormat="true" borderId="811" fillId="0" fontId="2" numFmtId="1000" quotePrefix="false">
      <alignment horizontal="right" indent="0" textRotation="0" vertical="bottom" wrapText="true"/>
      <protection hidden="false" locked="true"/>
    </xf>
    <xf applyAlignment="true" applyBorder="true" applyFill="false" applyFont="true" applyNumberFormat="true" borderId="81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1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1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1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81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81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1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81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82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82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82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2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82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2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82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2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2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82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3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3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3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3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3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3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3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83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3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3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4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4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4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4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4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4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4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4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4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4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5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5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5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5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5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855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85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5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58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85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60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86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6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6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6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66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867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86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86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87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87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87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87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87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87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87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7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7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7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8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8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8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8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8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8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8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8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8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8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9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9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9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9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9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9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9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9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89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9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90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0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02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0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0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05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90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90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90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90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91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91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91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91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14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91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1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17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1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1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20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2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92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92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24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92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26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92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92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92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93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93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32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3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3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35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3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3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3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39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4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941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942" fillId="3" fontId="3" numFmtId="1008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7" numFmtId="1000" quotePrefix="false">
      <alignment horizontal="left" indent="0" textRotation="0" vertical="bottom" wrapText="true"/>
      <protection hidden="false" locked="true"/>
    </xf>
    <xf applyAlignment="true" applyBorder="false" applyFill="false" applyFont="true" applyNumberFormat="true" borderId="0" fillId="0" fontId="9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9" numFmtId="1000" quotePrefix="false">
      <alignment horizontal="general" shrinkToFit="false" textRotation="0" vertical="center" wrapText="false"/>
      <protection hidden="false" locked="true"/>
    </xf>
    <xf applyAlignment="true" applyBorder="false" applyFill="false" applyFont="true" applyNumberFormat="true" borderId="0" fillId="0" fontId="10" numFmtId="1000" quotePrefix="false">
      <alignment horizontal="general" shrinkToFit="false" textRotation="0" vertical="bottom" wrapText="false"/>
      <protection hidden="false" locked="true"/>
    </xf>
    <xf applyAlignment="true" applyBorder="false" applyFill="false" applyFont="true" applyNumberFormat="true" borderId="0" fillId="0" fontId="10" numFmtId="1000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943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4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4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4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4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4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49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5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5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5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5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5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5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5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5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5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5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6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6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6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6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6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6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6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96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6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6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7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7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7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7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7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7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7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7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7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7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8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8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8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8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8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8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8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8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8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8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9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9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99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9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9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99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0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0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0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0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0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0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0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0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1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1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13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1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15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101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1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1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1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2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2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2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23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02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2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26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02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2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2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30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03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32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03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3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3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3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037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038" fillId="3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3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4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4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4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4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4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4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4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4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4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4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5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5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5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5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5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055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056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57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58" fillId="0" fontId="3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5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6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6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62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64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6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6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6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6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6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69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70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07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7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7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74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7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7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7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7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7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8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8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8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8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084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85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08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8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8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8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90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9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9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9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9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0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099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100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10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0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0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0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10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0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10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0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0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1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11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11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113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114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11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1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1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1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1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2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2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2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23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2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2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2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2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2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3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2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3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3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33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3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3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3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3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3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3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4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4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4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4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4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4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14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4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4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4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5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5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5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5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5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5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5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5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5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5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6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6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6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1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6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6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6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6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6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6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7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7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7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7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7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7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7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7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17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7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8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8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8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8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8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8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8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8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8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8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9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9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9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9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9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195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1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19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0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0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0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0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0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0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1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1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1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1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1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1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1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1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122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2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2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2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2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2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2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2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2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29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23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3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32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23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3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3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3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3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23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3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40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241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242" fillId="3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4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4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4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4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4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4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4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5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5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5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5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5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5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5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5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5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5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26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26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6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26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6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6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6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6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6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6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7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27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27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27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27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75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27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7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7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7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8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8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8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8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8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285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8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8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88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8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9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9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9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2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9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9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9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29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29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00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0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0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0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0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0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0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07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0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0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1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1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1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31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1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15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1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17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318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1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32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32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32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32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32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32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326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2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2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2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3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3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3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3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3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3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3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3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3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3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4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4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4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4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4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4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4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4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4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34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5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5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5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5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5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5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5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5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5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5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6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6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6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6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6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6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6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6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6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6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7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7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7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7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7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7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7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7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7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7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8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8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8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8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38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8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8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8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8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8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39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" fillId="3" fontId="3" numFmtId="1003" quotePrefix="false">
      <alignment horizontal="general" shrinkToFit="false" textRotation="0" vertical="bottom" wrapText="false"/>
      <protection hidden="false" locked="true"/>
    </xf>
    <xf applyAlignment="true" applyBorder="false" applyFill="false" applyFont="true" applyNumberFormat="true" borderId="0" fillId="0" fontId="11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39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9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9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9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398" fillId="0" fontId="2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12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139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0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0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0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0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0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1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1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1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13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1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1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1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1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1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1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2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2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2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2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2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2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2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2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2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2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3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3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32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33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3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3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3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3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3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3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4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4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4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4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4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45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46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4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4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4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5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5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5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5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5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5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56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57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58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5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60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6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62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6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6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6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6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6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6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469" fillId="3" fontId="3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70" fillId="3" fontId="3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7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7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7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7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7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7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7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7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79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80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81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82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83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84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85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86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87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88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89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90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9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9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9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9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9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49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5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50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0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0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0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0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0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50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50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51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51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51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51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51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51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51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1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1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1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2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2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2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23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52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2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2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2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2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3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3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3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3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3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3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3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3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3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3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54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4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4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4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44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54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4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4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4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4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5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5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5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53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554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55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5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5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5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5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6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6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6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6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6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6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6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6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6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7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57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7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7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574" fillId="0" fontId="3" numFmtId="1001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57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7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577" fillId="0" fontId="3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57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579" fillId="0" fontId="3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58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8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8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8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58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585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8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58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88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58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9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9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9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593" fillId="0" fontId="2" numFmtId="1001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59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9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9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59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59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59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00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60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60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60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60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60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60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60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60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0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61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1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12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1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14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61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61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17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61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61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62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62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62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62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2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2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2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27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28" fillId="0" fontId="2" numFmtId="1000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1629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630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63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3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33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3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3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3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3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3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3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4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4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4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4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4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4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4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4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4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4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5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5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5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5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5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5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5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5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5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59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6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6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6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6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6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6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6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6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6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6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7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67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7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7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7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7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7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7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7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7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8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8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8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8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8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8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8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8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88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89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9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9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9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94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69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69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0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01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02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0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0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0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0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0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1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12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13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14" fillId="0" fontId="2" numFmtId="1003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1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1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1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18" fillId="0" fontId="2" numFmtId="1003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1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20" fillId="0" fontId="2" numFmtId="1003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2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2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2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2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25" fillId="3" fontId="3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26" fillId="3" fontId="3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2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2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2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3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3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3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3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73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3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3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3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3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3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4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4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4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43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744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745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746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747" fillId="0" fontId="2" numFmtId="1000" quotePrefix="false">
      <alignment horizontal="right" indent="0" textRotation="0" vertical="bottom" wrapText="true"/>
      <protection hidden="false" locked="true"/>
    </xf>
    <xf applyAlignment="true" applyBorder="true" applyFill="false" applyFont="true" applyNumberFormat="true" borderId="1748" fillId="0" fontId="2" numFmtId="1000" quotePrefix="false">
      <alignment horizontal="right" indent="0" textRotation="0" vertical="bottom" wrapText="true"/>
      <protection hidden="false" locked="true"/>
    </xf>
    <xf applyAlignment="true" applyBorder="true" applyFill="false" applyFont="true" applyNumberFormat="true" borderId="174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5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5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5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5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5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5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5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5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5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5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6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6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6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6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6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76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6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6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6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6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7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7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73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77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7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77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77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77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77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77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8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8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8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8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78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8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78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8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8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78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79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79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9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7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9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9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9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7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79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8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80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0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0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0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0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0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0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0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1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1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1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1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1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1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1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1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18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819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820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2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82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82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82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82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82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82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828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2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3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3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3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3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3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3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3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83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83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839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4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41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4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84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84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84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84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47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4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49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5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5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85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85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54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85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5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5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5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5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6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6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862" fillId="0" fontId="2" numFmtId="1001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8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86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6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66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86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6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6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7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7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7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7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87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875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87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7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78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7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80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88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88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88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88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88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86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88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88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88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9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9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9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893" fillId="0" fontId="2" numFmtId="1001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89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95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89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897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89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89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90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90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90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" fillId="3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90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904" fillId="3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190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0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0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0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0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1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1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1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1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91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91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91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91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91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91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92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92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2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2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2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2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2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2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2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2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3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3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3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3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3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3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3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3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3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3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4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4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4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4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4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4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4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4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4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4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5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5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5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5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54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55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56" fillId="0" fontId="2" numFmtId="1003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5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5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5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6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6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6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6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64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6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6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67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68" fillId="0" fontId="2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6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7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7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7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7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7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7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197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7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7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97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980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81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8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83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8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8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8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8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8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8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9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91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92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199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99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996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9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998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9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0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0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0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0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04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05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06" fillId="0" fontId="2" numFmtId="1003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07" fillId="3" fontId="3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08" fillId="3" fontId="3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0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1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1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1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1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1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17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01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19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02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21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02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23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02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2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2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2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2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29" fillId="0" fontId="2" numFmtId="1000" quotePrefix="false">
      <alignment horizontal="right" indent="0" textRotation="0" vertical="bottom" wrapText="true"/>
      <protection hidden="false" locked="true"/>
    </xf>
    <xf applyAlignment="true" applyBorder="true" applyFill="false" applyFont="true" applyNumberFormat="true" borderId="2030" fillId="0" fontId="2" numFmtId="1000" quotePrefix="false">
      <alignment horizontal="right" indent="0" textRotation="0" vertical="bottom" wrapText="true"/>
      <protection hidden="false" locked="true"/>
    </xf>
    <xf applyAlignment="true" applyBorder="true" applyFill="false" applyFont="true" applyNumberFormat="true" borderId="203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3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3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3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3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3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3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3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4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4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4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4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4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04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4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47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04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4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5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5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5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5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5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5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5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5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5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05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6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6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6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63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06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6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6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6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6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6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7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7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7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7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7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7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7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07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7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7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8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8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8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8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084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08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08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087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088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08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09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09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09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09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09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09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09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09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09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09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0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0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0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0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0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0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06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0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0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0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1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111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1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1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1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11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116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1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1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1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2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2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2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2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2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2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2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12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12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129" fillId="0" fontId="2" numFmtId="1001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13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31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13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33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13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3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3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3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3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3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40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14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214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4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4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45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14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4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48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14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5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15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52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15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154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15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56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15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5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5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6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6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16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63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16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6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16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167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16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169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170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17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7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73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7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7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7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7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7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7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8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8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8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8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8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8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8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18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8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8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9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9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9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9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9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19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0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0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0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0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0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0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1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1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1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1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1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1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1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1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2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2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2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23" fillId="0" fontId="2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2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25" fillId="0" fontId="2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2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2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2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2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3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3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32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3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3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3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3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3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3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3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24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41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42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4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4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4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4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4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4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4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5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51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5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53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5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5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5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57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5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59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6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6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6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6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6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6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6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6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68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69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7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7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7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7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7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7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7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7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7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7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80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3" fontId="3" numFmtId="1008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81" fillId="3" fontId="3" numFmtId="1008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82" fillId="3" fontId="3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8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8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8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8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8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8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8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29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81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91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92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93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94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1" fillId="0" fontId="2" numFmtId="1000" quotePrefix="false">
      <alignment horizontal="right" indent="0" textRotation="0" vertical="center" wrapText="true"/>
      <protection hidden="false" locked="true"/>
    </xf>
    <xf applyAlignment="true" applyBorder="true" applyFill="false" applyFont="true" applyNumberFormat="true" borderId="2295" fillId="0" fontId="2" numFmtId="1000" quotePrefix="false">
      <alignment horizontal="right" indent="0" textRotation="0" vertical="center" wrapText="true"/>
      <protection hidden="false" locked="true"/>
    </xf>
    <xf applyAlignment="true" applyBorder="true" applyFill="false" applyFont="true" applyNumberFormat="true" borderId="2296" fillId="0" fontId="2" numFmtId="1000" quotePrefix="false">
      <alignment horizontal="right" indent="0" textRotation="0" vertical="center" wrapText="true"/>
      <protection hidden="false" locked="true"/>
    </xf>
    <xf applyAlignment="true" applyBorder="true" applyFill="false" applyFont="true" applyNumberFormat="true" borderId="22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29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0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0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0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0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0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0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1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1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1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1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1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1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1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1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1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1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2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2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2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2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24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9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232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2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2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2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3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3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3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3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3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3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3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3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3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3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4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4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42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4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44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4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46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4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4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4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5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5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5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5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5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5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5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5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58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5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6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6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6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63" fillId="3" fontId="3" numFmtId="1008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6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65" fillId="3" fontId="3" numFmtId="1008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6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6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6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false" applyFill="true" applyFont="true" applyNumberFormat="true" borderId="0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6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7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7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7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7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7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7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7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" fillId="2" fontId="3" numFmtId="1006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2377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7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7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8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81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8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83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8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8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8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8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38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8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9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91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9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9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9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9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3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39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9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39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00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0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0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" fillId="0" fontId="2" numFmtId="1007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403" fillId="0" fontId="2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0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05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0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40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40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40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41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41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41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41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14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1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17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1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1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2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21" fillId="0" fontId="2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2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2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2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25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2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27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2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29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3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3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3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33" fillId="0" fontId="2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3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3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36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3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3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3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40" fillId="0" fontId="2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4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42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43" fillId="3" fontId="3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2" numFmtId="1000" quotePrefix="false">
      <alignment horizontal="general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44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4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4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4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4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49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5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5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45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5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5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5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5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5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5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5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6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6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6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6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6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6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6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6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6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69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7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71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7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7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7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7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7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7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78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7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8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8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8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83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8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8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8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8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8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8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9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9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49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9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9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9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01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02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0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0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0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0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0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0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0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1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1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1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1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1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1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1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1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1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2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2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22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23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2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2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2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2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2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2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3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3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3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33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34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3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3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3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3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3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4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4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4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4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4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4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46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47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4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4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5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5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5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5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5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5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5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57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58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5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6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6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62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563" fillId="3" fontId="3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64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565" fillId="3" fontId="3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6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6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6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6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7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71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57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57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57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57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57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77" fillId="0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57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79" fillId="0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58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81" fillId="0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58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83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584" fillId="0" fontId="2" numFmtId="1000" quotePrefix="false">
      <alignment horizontal="right" indent="0" textRotation="0" vertical="center" wrapText="true"/>
      <protection hidden="false" locked="true"/>
    </xf>
    <xf applyAlignment="true" applyBorder="true" applyFill="false" applyFont="true" applyNumberFormat="true" borderId="2585" fillId="0" fontId="2" numFmtId="1000" quotePrefix="false">
      <alignment horizontal="right" indent="0" textRotation="0" vertical="center" wrapText="true"/>
      <protection hidden="false" locked="true"/>
    </xf>
    <xf applyAlignment="true" applyBorder="true" applyFill="false" applyFont="true" applyNumberFormat="true" borderId="2586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58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88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58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59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91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59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59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59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59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96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59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59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9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0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0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60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04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60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0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0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608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60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1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1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1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1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61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1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1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17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61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1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2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2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62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2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2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2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2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6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2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2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3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31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63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3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3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35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63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37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63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3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4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4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4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4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4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4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4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47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64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4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5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5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5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5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54" fillId="3" fontId="3" numFmtId="1008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65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5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657" fillId="3" fontId="3" numFmtId="1008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65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5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6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6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6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6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66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66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6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68" fillId="0" fontId="3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2" numFmtId="1000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266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7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7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7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7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67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7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76" fillId="0" fontId="2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7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7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79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8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68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8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83" fillId="0" fontId="2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8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8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86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8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68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8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90" fillId="0" fontId="2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9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92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3" fontId="3" numFmtId="1003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693" fillId="3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9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9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9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9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9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699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0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0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0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0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0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0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0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0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1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1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1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1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1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1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1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1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1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2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2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2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2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2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2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2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2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2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2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3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3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3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3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3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3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3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3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3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3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4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4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4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4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4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4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4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4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4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4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5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51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52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5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5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55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75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5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5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5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6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6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6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6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64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65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6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6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6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6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7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7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7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73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74" fillId="0" fontId="2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77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7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7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7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7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8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81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8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83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8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8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8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8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8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8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9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791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92" fillId="0" fontId="2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9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9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9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9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9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9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79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0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0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0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0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804" fillId="3" fontId="3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805" fillId="3" fontId="3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0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0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0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0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1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1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1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14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15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16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17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1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1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20" fillId="0" fontId="2" numFmtId="1000" quotePrefix="false">
      <alignment horizontal="right" indent="0" textRotation="0" vertical="center" wrapText="true"/>
      <protection hidden="false" locked="true"/>
    </xf>
    <xf applyAlignment="true" applyBorder="true" applyFill="false" applyFont="true" applyNumberFormat="true" borderId="282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22" fillId="0" fontId="2" numFmtId="1000" quotePrefix="false">
      <alignment horizontal="right" indent="0" textRotation="0" vertical="center" wrapText="true"/>
      <protection hidden="false" locked="true"/>
    </xf>
    <xf applyAlignment="true" applyBorder="true" applyFill="false" applyFont="true" applyNumberFormat="true" borderId="282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2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2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2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2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2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2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3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3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3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3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3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3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3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3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3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4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4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4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4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4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4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4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4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4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4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5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5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5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5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5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5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5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5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5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5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6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86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6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6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6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6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6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6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6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6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7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7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7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7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7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7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7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7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7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79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880" fillId="3" fontId="3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8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82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883" fillId="3" fontId="3" numFmtId="1008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88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88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88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88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88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88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89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89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89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89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94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89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89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897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89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89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90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01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0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0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0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0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06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0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0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0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1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1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1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1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1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1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1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1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18" fillId="0" fontId="2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1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20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2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2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2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2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2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2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27" fillId="0" fontId="2" numFmtId="1008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2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2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3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3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32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3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93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35" fillId="0" fontId="2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3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93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93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93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94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41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4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4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44" fillId="0" fontId="2" numFmtId="1008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4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46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4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94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49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5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95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52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5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95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95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56" fillId="0" fontId="2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5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58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59" fillId="3" fontId="3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96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6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6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6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6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6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6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6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69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7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7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7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73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7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7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7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7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7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7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8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8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8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98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146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" fillId="0" fontId="2" numFmtId="1000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146" fillId="0" fontId="2" numFmtId="1000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298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8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8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8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8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" fillId="0" fontId="2" numFmtId="1009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98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9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9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9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9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9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9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9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9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99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" fillId="3" fontId="3" numFmtId="1009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300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0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0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03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004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005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006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00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0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0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1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1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01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01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014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0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1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1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1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1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02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02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02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2" numFmtId="1000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302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2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2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2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8" fillId="0" fontId="2" numFmtId="1000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302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2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" fillId="0" fontId="2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2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3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3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3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33" fillId="0" fontId="3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1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3034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03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3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3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3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03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4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4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42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04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" fillId="0" fontId="2" numFmtId="1000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3" fillId="0" fontId="2" numFmtId="1001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304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4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4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47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04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4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5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5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5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5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5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5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5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5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5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5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6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6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6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false" applyFill="false" applyFont="true" applyNumberFormat="true" borderId="0" fillId="0" fontId="12" numFmtId="1000" quotePrefix="false">
      <alignment horizontal="center" shrinkToFit="false" textRotation="0" vertical="bottom" wrapText="false"/>
      <protection hidden="false" locked="true"/>
    </xf>
    <xf applyAlignment="true" applyBorder="false" applyFill="false" applyFont="true" applyNumberFormat="true" borderId="0" fillId="0" fontId="12" numFmtId="1000" quotePrefix="false">
      <alignment horizontal="right" indent="0" shrinkToFit="false" textRotation="0" vertical="bottom" wrapText="false"/>
      <protection hidden="false" locked="true"/>
    </xf>
    <xf applyAlignment="true" applyBorder="true" applyFill="false" applyFont="true" applyNumberFormat="true" borderId="2" fillId="0" fontId="7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" fillId="0" fontId="3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6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6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6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6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6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6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6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70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07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7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7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7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7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7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7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7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7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8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8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8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8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8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8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false" applyFill="false" applyFont="true" applyNumberFormat="true" borderId="0" fillId="0" fontId="2" numFmtId="1009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308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8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08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089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090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091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092" fillId="0" fontId="3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09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9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09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4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" fillId="0" fontId="2" numFmtId="1007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8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2" numFmtId="1001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37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0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0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" fillId="0" fontId="2" numFmtId="1007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2" fillId="3" fontId="3" numFmtId="1008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309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0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0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0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0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0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1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1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1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1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1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1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11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11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12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12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12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12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2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2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26" fillId="0" fontId="2" numFmtId="1000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13" numFmtId="1001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3" numFmtId="1001" quotePrefix="false">
      <alignment horizontal="general" textRotation="0" vertical="bottom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3" fontId="3" numFmtId="1006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127" fillId="3" fontId="3" numFmtId="1006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128" fillId="0" fontId="3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2" numFmtId="1000" quotePrefix="false">
      <alignment horizontal="general" shrinkToFit="false" textRotation="0" vertical="bottom" wrapText="false"/>
      <protection hidden="false" locked="true"/>
    </xf>
    <xf applyAlignment="true" applyBorder="false" applyFill="true" applyFont="true" applyNumberFormat="true" borderId="0" fillId="2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2" fillId="2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12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" fillId="0" fontId="2" numFmtId="1009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2" fillId="0" fontId="2" numFmtId="1006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2" fillId="0" fontId="2" numFmtId="1008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3130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" fillId="0" fontId="2" numFmtId="1006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" fillId="0" fontId="2" numFmtId="1008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" fillId="0" fontId="2" numFmtId="1007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" fillId="0" fontId="2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13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" fillId="0" fontId="2" numFmtId="1004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2" fillId="3" fontId="3" numFmtId="1006" quotePrefix="false">
      <alignment horizontal="general" textRotation="0" vertical="bottom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right" indent="0" textRotation="0" vertical="center" wrapText="true"/>
      <protection hidden="false" locked="true"/>
    </xf>
    <xf applyAlignment="true" applyBorder="false" applyFill="false" applyFont="true" applyNumberFormat="true" borderId="0" fillId="0" fontId="2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3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" fillId="0" fontId="2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3" fillId="0" fontId="2" numFmtId="1005" quotePrefix="false">
      <alignment horizontal="right" indent="0" textRotation="0" vertical="bottom" wrapText="true"/>
      <protection hidden="false" locked="true"/>
    </xf>
    <xf applyAlignment="true" applyBorder="true" applyFill="false" applyFont="true" applyNumberFormat="true" borderId="2" fillId="0" fontId="2" numFmtId="1008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3134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135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" fillId="2" fontId="2" numFmtId="1006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3" fillId="0" fontId="2" numFmtId="1001" quotePrefix="false">
      <alignment horizontal="right" indent="0" textRotation="0" vertical="bottom" wrapText="true"/>
      <protection hidden="false" locked="true"/>
    </xf>
    <xf applyAlignment="true" applyBorder="true" applyFill="false" applyFont="true" applyNumberFormat="true" borderId="313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37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138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3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40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4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4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43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44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145" fillId="3" fontId="3" numFmtId="1008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false" applyFill="false" applyFont="true" applyNumberFormat="true" borderId="0" fillId="0" fontId="7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2" numFmtId="1000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14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false" applyFill="false" applyFont="true" applyNumberFormat="true" borderId="0" fillId="0" fontId="12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2" fillId="0" fontId="2" numFmtId="1008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146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147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148" fillId="0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149" fillId="0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" fillId="0" fontId="3" numFmtId="1000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146" fillId="0" fontId="3" numFmtId="1000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315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" fillId="0" fontId="3" numFmtId="1008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15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5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53" fillId="0" fontId="2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2" numFmtId="1008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5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81" fillId="0" fontId="2" numFmtId="1000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315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" fillId="2" fontId="2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3156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46" fillId="2" fontId="2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3157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15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5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" fillId="0" fontId="2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3160" fillId="0" fontId="2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3161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16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6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" fillId="0" fontId="2" numFmtId="1007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" fillId="0" fontId="2" numFmtId="1008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16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165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16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6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6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169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" fillId="0" fontId="2" numFmtId="1004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17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7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7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46" fillId="0" fontId="2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146" fillId="0" fontId="2" numFmtId="1008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" fillId="0" fontId="3" numFmtId="1008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17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7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7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7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77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78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79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80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81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18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8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84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18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8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8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8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18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19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" fillId="4" fontId="2" numFmtId="1000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2" fillId="0" fontId="2" numFmtId="1006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191" fillId="0" fontId="2" numFmtId="1006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19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9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94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19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19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197" fillId="0" fontId="2" numFmtId="1006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19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19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20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20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02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3203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true" applyFont="true" applyNumberFormat="true" borderId="2" fillId="3" fontId="3" numFmtId="1000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320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0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0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0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0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09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1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1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1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1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1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1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1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1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1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1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2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2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2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2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2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2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2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27" fillId="0" fontId="2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22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2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3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3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3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3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3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3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3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3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3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3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4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4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4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4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4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4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4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4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4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4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5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5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5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25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5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5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5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5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5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5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6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6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262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26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6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65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26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6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6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26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70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27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72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27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7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27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27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7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7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7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8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8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8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8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284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28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28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28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8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8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9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9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9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9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9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29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29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297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298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299" fillId="3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0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0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0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0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0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1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1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1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1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1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1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16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17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18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1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2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2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2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23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2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2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2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2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28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29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30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31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1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333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33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3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3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3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3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3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3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4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2" fillId="4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4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34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43" fillId="4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4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45" fillId="4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4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47" fillId="0" fontId="2" numFmtId="1000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1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334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34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5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5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5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5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5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55" fillId="0" fontId="2" numFmtId="1000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7" numFmtId="1000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335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5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5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5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6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6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6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6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6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6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6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6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6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69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37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7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7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" fillId="3" fontId="3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37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7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75" fillId="3" fontId="3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37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77" fillId="3" fontId="3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37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7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8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8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8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8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8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8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8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8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38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8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9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9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9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9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9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39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396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97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98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" fillId="0" fontId="3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399" fillId="0" fontId="3" numFmtId="1001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40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401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402" fillId="0" fontId="3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40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0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0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0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407" fillId="0" fontId="3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40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0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1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41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41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413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41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1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1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1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1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1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2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2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422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42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42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425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42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2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2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2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3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3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43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43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43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43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436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43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438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7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39" fillId="3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44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4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4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4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4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4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4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4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" fillId="2" fontId="3" numFmtId="1003" quotePrefix="false">
      <alignment horizontal="right" indent="0" shrinkToFit="false" textRotation="0" vertical="center" wrapText="false"/>
      <protection hidden="false" locked="true"/>
    </xf>
    <xf applyAlignment="true" applyBorder="false" applyFill="true" applyFont="true" applyNumberFormat="true" borderId="0" fillId="2" fontId="1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44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4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5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5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5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5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5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5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" fillId="3" fontId="3" numFmtId="1003" quotePrefix="false">
      <alignment horizontal="right" indent="0" shrinkToFit="false" textRotation="0" vertical="center" wrapText="false"/>
      <protection hidden="false" locked="true"/>
    </xf>
    <xf applyAlignment="true" applyBorder="true" applyFill="true" applyFont="true" applyNumberFormat="true" borderId="3456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45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5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5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6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6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6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46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46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6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46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6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46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" fillId="0" fontId="2" numFmtId="1001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2" fillId="5" fontId="3" numFmtId="1008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3470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8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7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72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473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" fillId="3" fontId="3" numFmtId="1009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2" fillId="2" fontId="3" numFmtId="101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" fillId="2" fontId="3" numFmtId="1000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3474" fillId="2" fontId="3" numFmtId="1000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3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475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3" numFmtId="1000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3476" fillId="2" fontId="3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3477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2" fillId="0" fontId="2" numFmtId="1011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3478" fillId="2" fontId="3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347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2" fillId="0" fontId="3" numFmtId="1003" quotePrefix="false">
      <alignment horizontal="right" indent="0" shrinkToFit="false" textRotation="0" vertical="center" wrapText="false"/>
      <protection hidden="false" locked="true"/>
    </xf>
    <xf applyAlignment="true" applyBorder="true" applyFill="true" applyFont="true" applyNumberFormat="true" borderId="2" fillId="5" fontId="3" numFmtId="1011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2" fillId="2" fontId="3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3480" fillId="2" fontId="3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48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" fillId="0" fontId="3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82" fillId="0" fontId="3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483" fillId="0" fontId="3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2" fillId="5" fontId="3" numFmtId="1003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3484" fillId="0" fontId="3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48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8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8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8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8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90" fillId="0" fontId="3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3491" fillId="0" fontId="3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3492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3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493" fillId="2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494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495" fillId="2" fontId="3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2" fillId="2" fontId="2" numFmtId="1003" quotePrefix="false">
      <alignment horizontal="right" indent="0" shrinkToFit="false" textRotation="0" vertical="center" wrapText="false"/>
      <protection hidden="false" locked="true"/>
    </xf>
    <xf applyAlignment="true" applyBorder="true" applyFill="true" applyFont="true" applyNumberFormat="true" borderId="3496" fillId="2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true" applyFont="true" applyNumberFormat="true" borderId="3497" fillId="2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349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499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3500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true" applyFont="true" applyNumberFormat="true" borderId="2" fillId="3" fontId="3" numFmtId="1008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2" fillId="5" fontId="13" numFmtId="1003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3501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3502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3503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3504" fillId="0" fontId="3" numFmtId="1000" quotePrefix="false">
      <alignment horizontal="left" indent="0" shrinkToFit="false" textRotation="0" vertical="bottom" wrapText="false"/>
      <protection hidden="false" locked="true"/>
    </xf>
    <xf applyAlignment="true" applyBorder="true" applyFill="true" applyFont="true" applyNumberFormat="true" borderId="2" fillId="5" fontId="13" numFmtId="1003" quotePrefix="false">
      <alignment horizontal="general" shrinkToFit="false" textRotation="0" vertical="center" wrapText="false"/>
      <protection hidden="false" locked="true"/>
    </xf>
    <xf applyAlignment="true" applyBorder="false" applyFill="true" applyFont="true" applyNumberFormat="true" borderId="0" fillId="2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false" borderId="3505" fillId="0" fontId="0" numFmtId="0" quotePrefix="false">
      <alignment shrinkToFit="false" textRotation="0" vertical="center" wrapText="false"/>
    </xf>
    <xf applyAlignment="true" applyBorder="true" applyFill="false" applyFont="true" applyNumberFormat="true" borderId="2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506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507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" fillId="0" fontId="3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3508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" fillId="5" fontId="3" numFmtId="1009" quotePrefix="false">
      <alignment horizontal="general" shrinkToFit="false" textRotation="0" vertical="bottom" wrapText="false"/>
      <protection hidden="false" locked="true"/>
    </xf>
    <xf applyAlignment="true" applyBorder="false" applyFill="true" applyFont="true" applyNumberFormat="true" borderId="0" fillId="2" fontId="3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509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510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511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512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513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514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515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516" fillId="2" fontId="3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51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18" fillId="0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1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" fillId="2" fontId="3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352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2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2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23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2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2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2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2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2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2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3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3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3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3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3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3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53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3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3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3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4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4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4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4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4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4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4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4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4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4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5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5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5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5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5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5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5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5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5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5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6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6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6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6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6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6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6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6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6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56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7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7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7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7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7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75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57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77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57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79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58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8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8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8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8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8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8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58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8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58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59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59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59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9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9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95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5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59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0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0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0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03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0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0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0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0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0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0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1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1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1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1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1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1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1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61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1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1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2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2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2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2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2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2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2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2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2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29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" fillId="3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3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631" fillId="3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3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633" fillId="3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3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3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3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3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3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3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4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4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4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4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4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4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4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4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4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4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5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5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5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5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5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5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5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5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5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5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6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6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66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6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6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66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66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" fillId="5" fontId="3" numFmtId="1009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366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6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6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7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7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7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67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7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7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7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7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7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7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8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8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8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8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8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8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86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68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88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68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69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69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69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69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69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69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69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69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9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699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0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0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0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0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0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0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0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707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0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70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1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1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1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71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1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715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1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717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1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1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2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2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722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2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72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25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26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27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2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2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3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3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3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3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3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3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3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3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3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3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4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4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4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4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74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4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46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74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4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4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5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5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5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5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5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75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5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5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5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5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376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6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6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6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765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6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767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6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6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770" fillId="0" fontId="2" numFmtId="1001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" fillId="5" fontId="13" numFmtId="1003" quotePrefix="false">
      <alignment horizontal="right" indent="0" shrinkToFit="false" textRotation="0" vertical="bottom" wrapText="false"/>
      <protection hidden="false" locked="true"/>
    </xf>
    <xf applyAlignment="true" applyBorder="true" applyFill="false" applyFont="true" applyNumberFormat="true" borderId="377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7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73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74" fillId="0" fontId="2" numFmtId="1000" quotePrefix="false">
      <alignment horizontal="left" indent="0" textRotation="0" vertical="bottom" wrapText="true"/>
      <protection hidden="false" locked="true"/>
    </xf>
    <xf applyAlignment="true" applyBorder="false" applyFill="false" applyFont="true" applyNumberFormat="true" borderId="0" fillId="0" fontId="1" numFmtId="1003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377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7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77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77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7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80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81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8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8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8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85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" fillId="5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786" fillId="5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87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88" fillId="0" fontId="2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378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3789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3790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3791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9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9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94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79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79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79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79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799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0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0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0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0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0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0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0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0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0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0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1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1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1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1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1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1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1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1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1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1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82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2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2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2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2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2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2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2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2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2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30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31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32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3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3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3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3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3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3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3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4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4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4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43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84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4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46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4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48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4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50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5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5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5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5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5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5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5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5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59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860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86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62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86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6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6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6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6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6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6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70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71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72" fillId="0" fontId="2" numFmtId="1005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87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74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87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76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87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7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7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8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8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882" fillId="2" fontId="2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88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8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8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8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8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8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8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9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89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9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9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9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9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9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9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9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89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0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0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0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0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0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0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0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07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90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0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1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1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1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1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1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1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1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19" fillId="4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920" fillId="4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2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2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2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2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25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92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2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2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2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3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3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3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3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3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3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3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3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3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3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4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4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4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4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44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94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4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4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4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4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5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5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52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953" fillId="3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5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955" fillId="3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5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5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5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5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6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6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6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6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6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6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6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6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6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6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7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7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7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7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7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7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76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97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7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79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98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8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8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8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8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98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98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987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88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98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99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91" fillId="0" fontId="2" numFmtId="1001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399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99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99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99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99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99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399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99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00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00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0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0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0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0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0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400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0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0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1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1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12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1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14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01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1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17" fillId="5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01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1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2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2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2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2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2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02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02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02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02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02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3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03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3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03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3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03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3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3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3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3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4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4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4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4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4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4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4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04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4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49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5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51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5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53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5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55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5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5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5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5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6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6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6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6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06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6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6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6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6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6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7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7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7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07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7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7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7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7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7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7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8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8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8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8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8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85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8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8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8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8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9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9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92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93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09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9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9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9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9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09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0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0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04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410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06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10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10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09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11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11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11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11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14" fillId="0" fontId="2" numFmtId="1003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11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16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17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1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19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12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12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12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12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12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12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12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27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412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2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3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31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3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3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3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3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3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3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3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39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4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41" fillId="0" fontId="2" numFmtId="1003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142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143" fillId="3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4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4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4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4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4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4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5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5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5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5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5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5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5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5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5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5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6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6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6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6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6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6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6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6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6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6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70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17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7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7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7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7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7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7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7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79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180" fillId="4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181" fillId="4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8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83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8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8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8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8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8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8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9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9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19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19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9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9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9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9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19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19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20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20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0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20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20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20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20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0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08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20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1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1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1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13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214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215" fillId="3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1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1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1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1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2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2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2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23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22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2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2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2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2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2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3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3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232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23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23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23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236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23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238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23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24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24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24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24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4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4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46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24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4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4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5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5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25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425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5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5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256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57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58" fillId="0" fontId="2" numFmtId="1001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25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6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6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6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6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6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6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26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6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69" fillId="0" fontId="2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27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27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27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27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27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27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27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427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27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27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8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81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8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283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28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8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86" fillId="5" fontId="3" numFmtId="1008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28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8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8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9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9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9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7" fillId="5" fontId="13" numFmtId="1003" quotePrefix="false">
      <alignment horizontal="right" indent="0" shrinkToFit="false" textRotation="0" vertical="center" wrapText="false"/>
      <protection hidden="false" locked="true"/>
    </xf>
    <xf applyAlignment="true" applyBorder="true" applyFill="true" applyFont="true" applyNumberFormat="true" borderId="429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9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9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9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9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9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29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0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0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0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0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0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0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0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0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0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0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1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1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1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1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1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1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31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1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31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32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32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32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32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32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32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26" fillId="0" fontId="2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432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2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29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3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3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3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3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3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3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36" fillId="0" fontId="2" numFmtId="1003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337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3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39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4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4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4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4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4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45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46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47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348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49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350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51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52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53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54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55" fillId="2" fontId="2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356" fillId="2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57" fillId="0" fontId="2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435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5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60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6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6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6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64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6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6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67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6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6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7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7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7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73" fillId="0" fontId="2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437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7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7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7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7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79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8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81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8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8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8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385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86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8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8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89" fillId="0" fontId="2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439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9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9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93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39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9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9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9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9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399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0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01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02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03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0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05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40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0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08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09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10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11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12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13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14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15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16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17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18" fillId="0" fontId="2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1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2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2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42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2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2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2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2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2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2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2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30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3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32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33" fillId="0" fontId="2" numFmtId="1003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34" fillId="0" fontId="2" numFmtId="1003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2" fillId="5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435" fillId="5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36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437" fillId="5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43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3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4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4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4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4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4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4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4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4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4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4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5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5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5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5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54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45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5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5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58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5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6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6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62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64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6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66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6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67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69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70" fillId="0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71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7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73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74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75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76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4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477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478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37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7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8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8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8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8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8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8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8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8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8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8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9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9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9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9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9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49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9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9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9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49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50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50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50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503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50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0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0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0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08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509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510" fillId="3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1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1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1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1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1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1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1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1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1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20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52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2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2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2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2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2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27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52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2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3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3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3" fillId="0" fontId="2" numFmtId="1012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453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33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3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3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3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3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3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39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4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4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542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54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4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4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4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47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4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4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5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5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5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53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5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5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5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557" fillId="0" fontId="2" numFmtId="1000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4558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4559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456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6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6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63" fillId="0" fontId="2" numFmtId="1005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6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6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6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67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568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569" fillId="3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70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7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57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7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74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7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7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7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7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79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580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8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8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8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8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8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86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58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8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8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9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9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9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93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94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59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9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9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59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9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0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0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0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0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0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60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0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60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60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609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61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1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1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613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461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1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1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61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618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61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2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62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62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62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62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625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62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2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2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2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3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3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3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3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3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3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3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3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38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3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4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4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64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4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4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4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4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4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4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4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5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5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5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5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5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5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5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5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5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5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6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6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6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6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6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7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66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67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68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69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70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" fillId="5" fontId="3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4671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672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673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674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675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76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67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678" fillId="0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7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680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81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82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83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684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685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686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687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2" fillId="0" fontId="14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88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89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9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9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9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93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69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95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69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69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698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699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700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701" fillId="0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" fillId="0" fontId="2" numFmtId="1009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" fillId="0" fontId="3" numFmtId="1000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2" fillId="0" fontId="2" numFmtId="1009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2" fillId="2" fontId="3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2" fillId="0" fontId="2" numFmtId="1009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" fillId="2" fontId="2" numFmtId="1009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2" fillId="0" fontId="3" numFmtId="1009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2" fillId="0" fontId="3" numFmtId="1009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9" quotePrefix="false">
      <alignment horizontal="center" shrinkToFit="false" textRotation="0" vertical="center" wrapText="false"/>
      <protection hidden="false" locked="true"/>
    </xf>
    <xf applyAlignment="true" applyBorder="false" applyFill="true" applyFont="true" applyNumberFormat="true" borderId="0" fillId="2" fontId="2" numFmtId="1009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470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" fillId="0" fontId="3" numFmtId="1009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0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04" fillId="0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1" numFmtId="1009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2" fillId="2" fontId="3" numFmtId="1009" quotePrefix="false">
      <alignment horizontal="center" shrinkToFit="false" textRotation="0" vertical="center" wrapText="false"/>
      <protection hidden="false" locked="true"/>
    </xf>
    <xf applyAlignment="true" applyBorder="false" applyFill="true" applyFont="true" applyNumberFormat="true" borderId="0" fillId="2" fontId="1" numFmtId="1009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2" fillId="2" fontId="3" numFmtId="1009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2" fillId="2" fontId="2" numFmtId="1009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7" fillId="2" fontId="3" numFmtId="1009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2" fillId="0" fontId="3" numFmtId="1009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2" fillId="2" fontId="2" numFmtId="1009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470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0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07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3" numFmtId="1009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3" numFmtId="1009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7" fillId="2" fontId="3" numFmtId="1009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" fillId="0" fontId="3" numFmtId="1009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2" fillId="0" fontId="2" numFmtId="1009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70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0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1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8" fillId="0" fontId="2" numFmtId="1009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14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8" fillId="0" fontId="2" numFmtId="1009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2" numFmtId="1009" quotePrefix="false">
      <alignment horizontal="left" indent="0" textRotation="0" vertical="bottom" wrapText="true"/>
      <protection hidden="false" locked="true"/>
    </xf>
    <xf applyAlignment="true" applyBorder="false" applyFill="false" applyFont="true" applyNumberFormat="true" borderId="0" fillId="0" fontId="2" numFmtId="1009" quotePrefix="false">
      <alignment horizontal="center" textRotation="0" vertical="bottom" wrapText="true"/>
      <protection hidden="false" locked="true"/>
    </xf>
    <xf applyAlignment="true" applyBorder="false" applyFill="true" applyFont="true" applyNumberFormat="true" borderId="0" fillId="2" fontId="3" numFmtId="1009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3" numFmtId="1009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711" fillId="0" fontId="3" numFmtId="1009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712" fillId="2" fontId="3" numFmtId="1009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713" fillId="2" fontId="3" numFmtId="1009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" fillId="0" fontId="3" numFmtId="1009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4714" fillId="0" fontId="3" numFmtId="1009" quotePrefix="false">
      <alignment horizontal="left" indent="0" shrinkToFit="false" textRotation="0" vertical="bottom" wrapText="false"/>
      <protection hidden="false" locked="true"/>
    </xf>
    <xf applyAlignment="true" applyBorder="true" applyFill="true" applyFont="true" applyNumberFormat="true" borderId="4715" fillId="2" fontId="3" numFmtId="1009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716" fillId="0" fontId="3" numFmtId="1009" quotePrefix="false">
      <alignment horizontal="left" indent="0" shrinkToFit="false" textRotation="0" vertical="bottom" wrapText="false"/>
      <protection hidden="false" locked="true"/>
    </xf>
    <xf applyAlignment="true" applyBorder="true" applyFill="false" applyFont="true" applyNumberFormat="true" borderId="4717" fillId="0" fontId="3" numFmtId="1009" quotePrefix="false">
      <alignment horizontal="left" indent="0" shrinkToFit="false" textRotation="0" vertical="bottom" wrapText="false"/>
      <protection hidden="false" locked="true"/>
    </xf>
    <xf applyAlignment="true" applyBorder="true" applyFill="true" applyFont="true" applyNumberFormat="true" borderId="2" fillId="5" fontId="3" numFmtId="1003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4718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719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720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721" fillId="0" fontId="3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34" fillId="0" fontId="2" numFmtId="1007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81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22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23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24" fillId="0" fontId="3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25" fillId="0" fontId="3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72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727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3" numFmtId="1005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4728" fillId="0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72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" fillId="5" fontId="3" numFmtId="1005" quotePrefix="false">
      <alignment horizontal="right" indent="0" shrinkToFit="false" textRotation="0" vertical="center" wrapText="false"/>
      <protection hidden="false" locked="true"/>
    </xf>
    <xf applyAlignment="true" applyBorder="true" applyFill="false" applyFont="true" applyNumberFormat="true" borderId="473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3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3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3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3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3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37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73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3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4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4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4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4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4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4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4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4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48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4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5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50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752" fillId="0" fontId="2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53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75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55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56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5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58" fillId="0" fontId="2" numFmtId="1001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5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60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61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762" fillId="3" fontId="3" numFmtId="1008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63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6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6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6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67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76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6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7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7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7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73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7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7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7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7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78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79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80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81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782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78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78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78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78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78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78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78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79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79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792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79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79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79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79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79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798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79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80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80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80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0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0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0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06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80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0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0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1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1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481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1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1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15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81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17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1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1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20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82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2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2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2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2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2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2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2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2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3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3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832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33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83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83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83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83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838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83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840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84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84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843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44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45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46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84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4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4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50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485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5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5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54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85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56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85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58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59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60" fillId="0" fontId="2" numFmtId="1000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861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862" fillId="3" fontId="3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86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6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6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6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6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6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6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7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71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72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73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74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75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76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77" fillId="0" fontId="3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78" fillId="0" fontId="3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87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8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8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88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8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8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85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88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87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88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8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89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9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9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9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9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95" fillId="0" fontId="2" numFmtId="1000" quotePrefix="false">
      <alignment horizontal="left" indent="0" textRotation="0" vertical="bottom" wrapText="true"/>
      <protection hidden="false" locked="true"/>
    </xf>
    <xf applyAlignment="true" applyBorder="true" applyFill="false" applyFont="true" applyNumberFormat="true" borderId="4896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897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89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89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0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900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90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0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0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0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0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907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908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909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910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911" fillId="0" fontId="2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4912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913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914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915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916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4917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918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919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920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92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false" applyFont="true" applyNumberFormat="true" borderId="4922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923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924" fillId="0" fontId="2" numFmtId="1009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4925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92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4927" fillId="0" fontId="2" numFmtId="1009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92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2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3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3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32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3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34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35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3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37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38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39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4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41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942" fillId="2" fontId="3" numFmtId="1000" quotePrefix="false">
      <alignment horizontal="left" indent="0" textRotation="0" vertical="center" wrapText="tru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35" Target="sharedStrings.xml" Type="http://schemas.openxmlformats.org/officeDocument/2006/relationships/sharedStrings"/>
  <Relationship Id="rId15" Target="worksheets/sheet15.xml" Type="http://schemas.openxmlformats.org/officeDocument/2006/relationships/worksheet"/>
  <Relationship Id="rId36" Target="styles.xml" Type="http://schemas.openxmlformats.org/officeDocument/2006/relationships/styles"/>
  <Relationship Id="rId34" Target="worksheets/sheet34.xml" Type="http://schemas.openxmlformats.org/officeDocument/2006/relationships/worksheet"/>
  <Relationship Id="rId30" Target="worksheets/sheet30.xml" Type="http://schemas.openxmlformats.org/officeDocument/2006/relationships/worksheet"/>
  <Relationship Id="rId27" Target="worksheets/sheet27.xml" Type="http://schemas.openxmlformats.org/officeDocument/2006/relationships/worksheet"/>
  <Relationship Id="rId3" Target="worksheets/sheet3.xml" Type="http://schemas.openxmlformats.org/officeDocument/2006/relationships/worksheet"/>
  <Relationship Id="rId29" Target="worksheets/sheet29.xml" Type="http://schemas.openxmlformats.org/officeDocument/2006/relationships/worksheet"/>
  <Relationship Id="rId5" Target="worksheets/sheet5.xml" Type="http://schemas.openxmlformats.org/officeDocument/2006/relationships/worksheet"/>
  <Relationship Id="rId12" Target="worksheets/sheet12.xml" Type="http://schemas.openxmlformats.org/officeDocument/2006/relationships/worksheet"/>
  <Relationship Id="rId31" Target="worksheets/sheet31.xml" Type="http://schemas.openxmlformats.org/officeDocument/2006/relationships/worksheet"/>
  <Relationship Id="rId13" Target="worksheets/sheet13.xml" Type="http://schemas.openxmlformats.org/officeDocument/2006/relationships/worksheet"/>
  <Relationship Id="rId6" Target="worksheets/sheet6.xml" Type="http://schemas.openxmlformats.org/officeDocument/2006/relationships/worksheet"/>
  <Relationship Id="rId4" Target="worksheets/sheet4.xml" Type="http://schemas.openxmlformats.org/officeDocument/2006/relationships/worksheet"/>
  <Relationship Id="rId23" Target="worksheets/sheet23.xml" Type="http://schemas.openxmlformats.org/officeDocument/2006/relationships/worksheet"/>
  <Relationship Id="rId21" Target="worksheets/sheet21.xml" Type="http://schemas.openxmlformats.org/officeDocument/2006/relationships/worksheet"/>
  <Relationship Id="rId22" Target="worksheets/sheet22.xml" Type="http://schemas.openxmlformats.org/officeDocument/2006/relationships/worksheet"/>
  <Relationship Id="rId37" Target="theme/theme1.xml" Type="http://schemas.openxmlformats.org/officeDocument/2006/relationships/theme"/>
  <Relationship Id="rId28" Target="worksheets/sheet28.xml" Type="http://schemas.openxmlformats.org/officeDocument/2006/relationships/worksheet"/>
  <Relationship Id="rId8" Target="worksheets/sheet8.xml" Type="http://schemas.openxmlformats.org/officeDocument/2006/relationships/worksheet"/>
  <Relationship Id="rId32" Target="worksheets/sheet32.xml" Type="http://schemas.openxmlformats.org/officeDocument/2006/relationships/worksheet"/>
  <Relationship Id="rId9" Target="worksheets/sheet9.xml" Type="http://schemas.openxmlformats.org/officeDocument/2006/relationships/worksheet"/>
  <Relationship Id="rId20" Target="worksheets/sheet20.xml" Type="http://schemas.openxmlformats.org/officeDocument/2006/relationships/worksheet"/>
  <Relationship Id="rId19" Target="worksheets/sheet19.xml" Type="http://schemas.openxmlformats.org/officeDocument/2006/relationships/worksheet"/>
  <Relationship Id="rId11" Target="worksheets/sheet11.xml" Type="http://schemas.openxmlformats.org/officeDocument/2006/relationships/worksheet"/>
  <Relationship Id="rId14" Target="worksheets/sheet14.xml" Type="http://schemas.openxmlformats.org/officeDocument/2006/relationships/worksheet"/>
  <Relationship Id="rId16" Target="worksheets/sheet16.xml" Type="http://schemas.openxmlformats.org/officeDocument/2006/relationships/worksheet"/>
  <Relationship Id="rId10" Target="worksheets/sheet10.xml" Type="http://schemas.openxmlformats.org/officeDocument/2006/relationships/worksheet"/>
  <Relationship Id="rId7" Target="worksheets/sheet7.xml" Type="http://schemas.openxmlformats.org/officeDocument/2006/relationships/worksheet"/>
  <Relationship Id="rId33" Target="worksheets/sheet33.xml" Type="http://schemas.openxmlformats.org/officeDocument/2006/relationships/worksheet"/>
  <Relationship Id="rId25" Target="worksheets/sheet25.xml" Type="http://schemas.openxmlformats.org/officeDocument/2006/relationships/worksheet"/>
  <Relationship Id="rId17" Target="worksheets/sheet17.xml" Type="http://schemas.openxmlformats.org/officeDocument/2006/relationships/worksheet"/>
  <Relationship Id="rId26" Target="worksheets/sheet26.xml" Type="http://schemas.openxmlformats.org/officeDocument/2006/relationships/worksheet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18" Target="worksheets/sheet18.xml" Type="http://schemas.openxmlformats.org/officeDocument/2006/relationships/worksheet"/>
  <Relationship Id="rId24" Target="worksheets/sheet24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W66"/>
  <sheetViews>
    <sheetView showZeros="true" workbookViewId="0"/>
  </sheetViews>
  <sheetFormatPr baseColWidth="8" customHeight="false" defaultColWidth="9.01358353688254" defaultRowHeight="15.75" zeroHeight="false"/>
  <cols>
    <col customWidth="true" hidden="false" max="1" min="1" outlineLevel="0" style="1" width="7.59622739115129"/>
    <col customWidth="true" hidden="false" max="2" min="2" outlineLevel="0" style="2" width="102.588532867382"/>
    <col customWidth="true" hidden="false" max="4" min="3" outlineLevel="0" style="3" width="27.8988704266557"/>
    <col customWidth="true" hidden="false" max="5" min="5" outlineLevel="0" style="4" width="23.380595996141"/>
    <col customWidth="true" hidden="false" max="6" min="6" outlineLevel="0" style="4" width="10.7037749602586"/>
    <col customWidth="true" hidden="false" max="7" min="7" outlineLevel="0" style="4" width="15.074072288431"/>
    <col customWidth="true" hidden="false" max="8" min="8" outlineLevel="0" style="4" width="17.323345085308"/>
    <col bestFit="true" customWidth="true" hidden="false" max="257" min="9" outlineLevel="0" style="4" width="9.01682070093331"/>
  </cols>
  <sheetData>
    <row hidden="false" ht="15.75" outlineLevel="0" r="1">
      <c r="B1" s="4" t="n"/>
      <c r="C1" s="5" t="n"/>
      <c r="D1" s="7" t="s">
        <v>1</v>
      </c>
      <c r="E1" s="7" t="s"/>
    </row>
    <row hidden="false" ht="15.75" outlineLevel="0" r="2">
      <c r="B2" s="4" t="n"/>
      <c r="C2" s="10" t="s">
        <v>4</v>
      </c>
      <c r="D2" s="10" t="s"/>
      <c r="E2" s="10" t="s"/>
    </row>
    <row customHeight="true" hidden="false" ht="4.5" outlineLevel="0" r="3">
      <c r="B3" s="10" t="n"/>
      <c r="C3" s="10" t="s"/>
      <c r="D3" s="10" t="s"/>
    </row>
    <row customHeight="true" hidden="false" ht="41.25" outlineLevel="0" r="4">
      <c r="A4" s="12" t="s">
        <v>5</v>
      </c>
      <c r="B4" s="12" t="s"/>
      <c r="C4" s="12" t="s"/>
      <c r="D4" s="12" t="s"/>
      <c r="E4" s="12" t="s"/>
      <c r="I4" s="4" t="n">
        <v>56600</v>
      </c>
      <c r="J4" s="4" t="n">
        <v>57733</v>
      </c>
      <c r="K4" s="4" t="n">
        <f aca="false" ca="false" dt2D="false" dtr="false" t="normal">SUM(J4/I4)</f>
        <v>1.020017667844523</v>
      </c>
    </row>
    <row customHeight="true" hidden="false" ht="15.75" outlineLevel="0" r="5">
      <c r="B5" s="12" t="n"/>
      <c r="C5" s="12" t="n"/>
      <c r="D5" s="12" t="n"/>
    </row>
    <row customFormat="true" customHeight="true" hidden="false" ht="31.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20" t="s">
        <v>15</v>
      </c>
    </row>
    <row customFormat="true" hidden="false" ht="15.75" outlineLevel="0" r="7" s="1">
      <c r="A7" s="20" t="s">
        <v>16</v>
      </c>
      <c r="B7" s="21" t="s"/>
      <c r="C7" s="22" t="s"/>
      <c r="D7" s="23" t="s"/>
      <c r="E7" s="17" t="n"/>
    </row>
    <row customFormat="true" hidden="false" ht="31.5" outlineLevel="0" r="8" s="1">
      <c r="A8" s="17" t="s">
        <v>19</v>
      </c>
      <c r="B8" s="27" t="s">
        <v>21</v>
      </c>
      <c r="C8" s="28" t="s">
        <v>23</v>
      </c>
      <c r="D8" s="29" t="n">
        <f aca="false" ca="false" dt2D="false" dtr="false" t="normal">SUM('П 1'!H34:I34)</f>
        <v>360.3016448833333</v>
      </c>
      <c r="E8" s="30" t="s">
        <v>26</v>
      </c>
      <c r="G8" s="31" t="n">
        <v>355</v>
      </c>
      <c r="H8" s="14" t="n">
        <f aca="false" ca="false" dt2D="false" dtr="false" t="normal">SUM(D8/G8)</f>
        <v>1.0149342109389672</v>
      </c>
    </row>
    <row customFormat="true" customHeight="true" hidden="false" ht="15.75" outlineLevel="0" r="9" s="1">
      <c r="A9" s="17" t="s">
        <v>30</v>
      </c>
      <c r="B9" s="32" t="s">
        <v>31</v>
      </c>
      <c r="C9" s="17" t="s">
        <v>32</v>
      </c>
      <c r="D9" s="33" t="n">
        <f aca="false" ca="false" dt2D="false" dtr="false" t="normal">SUM(' П 2'!K51)</f>
        <v>12100.257079985215</v>
      </c>
      <c r="E9" s="30" t="s">
        <v>34</v>
      </c>
      <c r="G9" s="31" t="n">
        <v>11971</v>
      </c>
      <c r="H9" s="14" t="n">
        <f aca="false" ca="false" dt2D="false" dtr="false" t="normal">SUM(D9/G9)</f>
        <v>1.010797517332321</v>
      </c>
    </row>
    <row customFormat="true" hidden="false" ht="15.75" outlineLevel="0" r="10" s="1">
      <c r="A10" s="34" t="s"/>
      <c r="B10" s="35" t="s"/>
      <c r="C10" s="17" t="s">
        <v>37</v>
      </c>
      <c r="D10" s="33" t="n">
        <f aca="false" ca="false" dt2D="false" dtr="false" t="normal">SUM(' П 2.1.'!K50)</f>
        <v>14800.417089251328</v>
      </c>
      <c r="E10" s="30" t="s">
        <v>40</v>
      </c>
      <c r="G10" s="31" t="n">
        <v>14658</v>
      </c>
      <c r="H10" s="14" t="n">
        <f aca="false" ca="false" dt2D="false" dtr="false" t="normal">SUM(D10/G10)</f>
        <v>1.009715997356483</v>
      </c>
    </row>
    <row hidden="false" ht="31.5" outlineLevel="0" r="11">
      <c r="A11" s="37" t="s">
        <v>43</v>
      </c>
      <c r="B11" s="38" t="s">
        <v>44</v>
      </c>
      <c r="C11" s="17" t="s">
        <v>23</v>
      </c>
      <c r="D11" s="33" t="n">
        <f aca="false" ca="false" dt2D="false" dtr="false" t="normal">SUM(' П 3'!K50)</f>
        <v>31600.02984578976</v>
      </c>
      <c r="E11" s="30" t="s">
        <v>48</v>
      </c>
      <c r="G11" s="10" t="n">
        <v>31535</v>
      </c>
      <c r="H11" s="14" t="n">
        <f aca="false" ca="false" dt2D="false" dtr="false" t="normal">SUM(D11/G11)</f>
        <v>1.0020621482730223</v>
      </c>
    </row>
    <row hidden="false" ht="15.75" outlineLevel="0" r="12">
      <c r="A12" s="26" t="s">
        <v>51</v>
      </c>
      <c r="B12" s="38" t="s">
        <v>53</v>
      </c>
      <c r="C12" s="37" t="s">
        <v>55</v>
      </c>
      <c r="D12" s="40" t="n">
        <f aca="false" ca="false" dt2D="false" dtr="false" t="normal">SUM(' П 4 '!K40)</f>
        <v>2449.7966548715926</v>
      </c>
      <c r="E12" s="30" t="s">
        <v>57</v>
      </c>
      <c r="G12" s="10" t="n">
        <v>2400</v>
      </c>
      <c r="H12" s="14" t="n">
        <f aca="false" ca="false" dt2D="false" dtr="false" t="normal">SUM(D12/G12)</f>
        <v>1.020748606196497</v>
      </c>
    </row>
    <row customHeight="true" hidden="false" ht="40.5" outlineLevel="0" r="13">
      <c r="A13" s="37" t="s">
        <v>62</v>
      </c>
      <c r="B13" s="38" t="s">
        <v>64</v>
      </c>
      <c r="C13" s="37" t="s">
        <v>55</v>
      </c>
      <c r="D13" s="11" t="n">
        <f aca="false" ca="false" dt2D="false" dtr="false" t="normal">SUM(' П 5'!K40)</f>
        <v>3499.851667450855</v>
      </c>
      <c r="E13" s="41" t="s">
        <v>65</v>
      </c>
      <c r="G13" s="10" t="n">
        <v>3400</v>
      </c>
      <c r="H13" s="14" t="n">
        <f aca="false" ca="false" dt2D="false" dtr="false" t="normal">SUM(D13/G13)</f>
        <v>1.0293681374855457</v>
      </c>
    </row>
    <row customHeight="true" hidden="false" ht="39.75" outlineLevel="0" r="14">
      <c r="A14" s="37" t="s">
        <v>70</v>
      </c>
      <c r="B14" s="38" t="s">
        <v>71</v>
      </c>
      <c r="C14" s="44" t="s">
        <v>72</v>
      </c>
      <c r="D14" s="33" t="n">
        <f aca="false" ca="false" dt2D="false" dtr="false" t="normal">SUM(' П 6'!K47)</f>
        <v>26300.2066278406</v>
      </c>
      <c r="E14" s="30" t="s">
        <v>73</v>
      </c>
      <c r="G14" s="10" t="n">
        <v>26100</v>
      </c>
      <c r="H14" s="14" t="n">
        <f aca="false" ca="false" dt2D="false" dtr="false" t="normal">SUM(D14/G14)</f>
        <v>1.007670752024544</v>
      </c>
    </row>
    <row hidden="false" ht="47.25" outlineLevel="0" r="15">
      <c r="A15" s="17" t="s">
        <v>75</v>
      </c>
      <c r="B15" s="38" t="s">
        <v>76</v>
      </c>
      <c r="C15" s="44" t="s">
        <v>72</v>
      </c>
      <c r="D15" s="33" t="n">
        <f aca="false" ca="false" dt2D="false" dtr="false" t="normal">SUM(' П 7'!K49)</f>
        <v>34399.949820114954</v>
      </c>
      <c r="E15" s="30" t="s">
        <v>78</v>
      </c>
      <c r="G15" s="10" t="n">
        <v>34200</v>
      </c>
      <c r="H15" s="14" t="n">
        <f aca="false" ca="false" dt2D="false" dtr="false" t="normal">SUM(D15/G15)</f>
        <v>1.0058464859682734</v>
      </c>
    </row>
    <row hidden="false" ht="31.5" outlineLevel="0" r="16">
      <c r="A16" s="17" t="s">
        <v>82</v>
      </c>
      <c r="B16" s="38" t="s">
        <v>83</v>
      </c>
      <c r="C16" s="44" t="s">
        <v>72</v>
      </c>
      <c r="D16" s="33" t="n">
        <f aca="false" ca="false" dt2D="false" dtr="false" t="normal">'П 8'!K50</f>
        <v>12699.69740780963</v>
      </c>
      <c r="E16" s="30" t="s">
        <v>85</v>
      </c>
      <c r="G16" s="10" t="n">
        <v>12600</v>
      </c>
      <c r="H16" s="14" t="n">
        <f aca="false" ca="false" dt2D="false" dtr="false" t="normal">SUM(D16/G16)</f>
        <v>1.007912492683304</v>
      </c>
    </row>
    <row hidden="false" ht="31.5" outlineLevel="0" r="17">
      <c r="A17" s="37" t="s">
        <v>89</v>
      </c>
      <c r="B17" s="8" t="s">
        <v>90</v>
      </c>
      <c r="C17" s="9" t="s">
        <v>91</v>
      </c>
      <c r="D17" s="11" t="n">
        <f aca="false" ca="false" dt2D="false" dtr="false" t="normal">SUM('П 9'!K51)</f>
        <v>12999.56062756894</v>
      </c>
      <c r="E17" s="13" t="s">
        <v>92</v>
      </c>
      <c r="G17" s="10" t="n">
        <v>12800</v>
      </c>
      <c r="H17" s="14" t="n">
        <f aca="false" ca="false" dt2D="false" dtr="false" t="normal">SUM(D17/G17)</f>
        <v>1.0155906740288234</v>
      </c>
    </row>
    <row hidden="false" ht="63" outlineLevel="0" r="18">
      <c r="A18" s="37" t="s">
        <v>94</v>
      </c>
      <c r="B18" s="8" t="s">
        <v>95</v>
      </c>
      <c r="C18" s="9" t="s">
        <v>91</v>
      </c>
      <c r="D18" s="11" t="n">
        <f aca="false" ca="false" dt2D="false" dtr="false" t="normal">SUM('П 10'!K48)</f>
        <v>33700.06452262836</v>
      </c>
      <c r="E18" s="13" t="s">
        <v>97</v>
      </c>
      <c r="G18" s="10" t="n">
        <v>33400</v>
      </c>
      <c r="H18" s="14" t="n">
        <f aca="false" ca="false" dt2D="false" dtr="false" t="normal">SUM(D18/G18)</f>
        <v>1.008983967743364</v>
      </c>
    </row>
    <row hidden="false" ht="63" outlineLevel="0" r="19">
      <c r="A19" s="37" t="s">
        <v>98</v>
      </c>
      <c r="B19" s="8" t="s">
        <v>99</v>
      </c>
      <c r="C19" s="9" t="s">
        <v>91</v>
      </c>
      <c r="D19" s="11" t="n">
        <f aca="false" ca="false" dt2D="false" dtr="false" t="normal">SUM('П 11 '!K49)</f>
        <v>41800.03445118599</v>
      </c>
      <c r="E19" s="13" t="s">
        <v>103</v>
      </c>
      <c r="G19" s="10" t="n">
        <v>41500</v>
      </c>
      <c r="H19" s="14" t="n">
        <f aca="false" ca="false" dt2D="false" dtr="false" t="normal">SUM(D19/G19)</f>
        <v>1.0072297458117105</v>
      </c>
    </row>
    <row hidden="false" ht="15.75" outlineLevel="0" r="20">
      <c r="A20" s="17" t="s">
        <v>105</v>
      </c>
      <c r="B20" s="8" t="s">
        <v>106</v>
      </c>
      <c r="C20" s="9" t="s">
        <v>72</v>
      </c>
      <c r="D20" s="11" t="s">
        <v>107</v>
      </c>
      <c r="E20" s="13" t="s">
        <v>63</v>
      </c>
      <c r="G20" s="10" t="n"/>
      <c r="H20" s="14" t="n"/>
    </row>
    <row hidden="false" ht="31.5" outlineLevel="0" r="21">
      <c r="A21" s="17" t="s">
        <v>109</v>
      </c>
      <c r="B21" s="57" t="s">
        <v>110</v>
      </c>
      <c r="C21" s="9" t="s">
        <v>72</v>
      </c>
      <c r="D21" s="11" t="n">
        <f aca="false" ca="false" dt2D="false" dtr="false" t="normal">SUM('П 12'!F49)</f>
        <v>34300.06487816181</v>
      </c>
      <c r="E21" s="13" t="s">
        <v>112</v>
      </c>
      <c r="G21" s="10" t="n">
        <v>34100</v>
      </c>
      <c r="H21" s="14" t="n">
        <f aca="false" ca="false" dt2D="false" dtr="false" t="normal">SUM(D21/G21)</f>
        <v>1.0058670052246865</v>
      </c>
    </row>
    <row hidden="false" ht="31.5" outlineLevel="0" r="22">
      <c r="A22" s="28" t="s">
        <v>113</v>
      </c>
      <c r="B22" s="57" t="s">
        <v>114</v>
      </c>
      <c r="C22" s="9" t="s">
        <v>72</v>
      </c>
      <c r="D22" s="11" t="n">
        <f aca="false" ca="false" dt2D="false" dtr="false" t="normal">SUM(' П 13'!F50)</f>
        <v>29900.145933821652</v>
      </c>
      <c r="E22" s="13" t="s">
        <v>118</v>
      </c>
      <c r="G22" s="10" t="n">
        <v>29800</v>
      </c>
      <c r="H22" s="14" t="n">
        <f aca="false" ca="false" dt2D="false" dtr="false" t="normal">SUM(D22/G22)</f>
        <v>1.0033606018060957</v>
      </c>
    </row>
    <row hidden="false" ht="15.75" outlineLevel="0" r="23">
      <c r="A23" s="15" t="s">
        <v>120</v>
      </c>
      <c r="B23" s="61" t="s">
        <v>121</v>
      </c>
      <c r="C23" s="9" t="s">
        <v>60</v>
      </c>
      <c r="D23" s="11" t="s">
        <v>107</v>
      </c>
      <c r="E23" s="13" t="s">
        <v>63</v>
      </c>
      <c r="G23" s="10" t="n"/>
      <c r="H23" s="14" t="n"/>
    </row>
    <row customHeight="true" hidden="false" ht="18.75" outlineLevel="0" r="24">
      <c r="A24" s="15" t="s">
        <v>123</v>
      </c>
      <c r="B24" s="61" t="s">
        <v>124</v>
      </c>
      <c r="C24" s="9" t="s">
        <v>60</v>
      </c>
      <c r="D24" s="11" t="s">
        <v>107</v>
      </c>
      <c r="E24" s="13" t="s">
        <v>63</v>
      </c>
      <c r="G24" s="10" t="n"/>
      <c r="H24" s="14" t="n"/>
    </row>
    <row hidden="false" ht="15.75" outlineLevel="0" r="25">
      <c r="A25" s="67" t="s">
        <v>127</v>
      </c>
      <c r="B25" s="68" t="s"/>
      <c r="C25" s="69" t="s"/>
      <c r="D25" s="70" t="s"/>
      <c r="E25" s="71" t="s"/>
      <c r="G25" s="10" t="n"/>
      <c r="H25" s="14" t="n"/>
    </row>
    <row customHeight="true" hidden="false" ht="51.75" outlineLevel="0" r="26">
      <c r="A26" s="26" t="s">
        <v>130</v>
      </c>
      <c r="B26" s="74" t="s">
        <v>131</v>
      </c>
      <c r="C26" s="15" t="s">
        <v>132</v>
      </c>
      <c r="D26" s="11" t="n">
        <f aca="false" ca="false" dt2D="false" dtr="false" t="normal">SUM('П 14'!E84)</f>
        <v>143899.7601600995</v>
      </c>
      <c r="E26" s="13" t="s">
        <v>135</v>
      </c>
      <c r="G26" s="10" t="n">
        <v>131251</v>
      </c>
      <c r="H26" s="14" t="n">
        <f aca="false" ca="false" dt2D="false" dtr="false" t="normal">SUM(D26/G26)</f>
        <v>1.0963707717282116</v>
      </c>
    </row>
    <row customHeight="true" hidden="false" ht="25.5" outlineLevel="0" r="27">
      <c r="A27" s="75" t="n"/>
      <c r="B27" s="76" t="s">
        <v>139</v>
      </c>
      <c r="C27" s="15" t="s">
        <v>141</v>
      </c>
      <c r="D27" s="11" t="s">
        <v>142</v>
      </c>
      <c r="E27" s="77" t="s"/>
      <c r="G27" s="10" t="n"/>
      <c r="H27" s="14" t="n"/>
    </row>
    <row customHeight="true" hidden="false" ht="25.5" outlineLevel="0" r="28">
      <c r="A28" s="79" t="s">
        <v>146</v>
      </c>
      <c r="B28" s="8" t="s">
        <v>147</v>
      </c>
      <c r="C28" s="15" t="n"/>
      <c r="D28" s="11" t="n"/>
      <c r="E28" s="80" t="n"/>
      <c r="G28" s="10" t="n"/>
      <c r="H28" s="14" t="n"/>
    </row>
    <row customHeight="true" hidden="false" ht="15.75" outlineLevel="0" r="29">
      <c r="A29" s="15" t="s">
        <v>151</v>
      </c>
      <c r="B29" s="42" t="s">
        <v>152</v>
      </c>
      <c r="C29" s="15" t="s">
        <v>153</v>
      </c>
      <c r="D29" s="11" t="n">
        <f aca="false" ca="false" dt2D="false" dtr="false" t="normal">SUM('П 15'!K48)</f>
        <v>600.431185386222</v>
      </c>
      <c r="E29" s="13" t="s">
        <v>156</v>
      </c>
      <c r="G29" s="10" t="n">
        <v>500</v>
      </c>
      <c r="H29" s="14" t="n">
        <f aca="false" ca="false" dt2D="false" dtr="false" t="normal">SUM(D29/G29)</f>
        <v>1.200862370772444</v>
      </c>
    </row>
    <row hidden="false" ht="15.75" outlineLevel="0" r="30">
      <c r="A30" s="84" t="s"/>
      <c r="B30" s="85" t="s"/>
      <c r="C30" s="43" t="s">
        <v>159</v>
      </c>
      <c r="D30" s="11" t="n">
        <v>0</v>
      </c>
      <c r="E30" s="86" t="s"/>
      <c r="G30" s="10" t="n"/>
      <c r="H30" s="14" t="n"/>
    </row>
    <row hidden="false" ht="47.25" outlineLevel="0" r="31">
      <c r="A31" s="87" t="s"/>
      <c r="B31" s="88" t="s"/>
      <c r="C31" s="43" t="s">
        <v>162</v>
      </c>
      <c r="D31" s="11" t="n">
        <v>300</v>
      </c>
      <c r="E31" s="89" t="s"/>
      <c r="G31" s="10" t="n">
        <v>300</v>
      </c>
      <c r="H31" s="14" t="n">
        <f aca="false" ca="false" dt2D="false" dtr="false" t="normal">SUM(D31/G31)</f>
        <v>1</v>
      </c>
    </row>
    <row customHeight="true" hidden="false" ht="31.5" outlineLevel="0" r="32">
      <c r="A32" s="15" t="s">
        <v>167</v>
      </c>
      <c r="B32" s="42" t="s">
        <v>169</v>
      </c>
      <c r="C32" s="9" t="s">
        <v>170</v>
      </c>
      <c r="D32" s="11" t="n">
        <f aca="false" ca="false" dt2D="false" dtr="false" t="normal">SUM('П 16'!E31)</f>
        <v>329.63890329409253</v>
      </c>
      <c r="E32" s="13" t="s">
        <v>171</v>
      </c>
      <c r="G32" s="10" t="n">
        <v>600</v>
      </c>
      <c r="H32" s="14" t="n">
        <f aca="false" ca="false" dt2D="false" dtr="false" t="normal">SUM(D32/G32)</f>
        <v>0.5493981721568209</v>
      </c>
    </row>
    <row hidden="false" ht="31.5" outlineLevel="0" r="33">
      <c r="A33" s="90" t="s"/>
      <c r="B33" s="91" t="s"/>
      <c r="C33" s="9" t="s">
        <v>172</v>
      </c>
      <c r="D33" s="11" t="n">
        <f aca="false" ca="false" dt2D="false" dtr="false" t="normal">SUM('П 16'!E32)</f>
        <v>164.81945164704626</v>
      </c>
      <c r="E33" s="92" t="s"/>
      <c r="G33" s="10" t="n">
        <v>350</v>
      </c>
      <c r="H33" s="14" t="n">
        <f aca="false" ca="false" dt2D="false" dtr="false" t="normal">SUM(D33/G33)</f>
        <v>0.47091271899156073</v>
      </c>
    </row>
    <row hidden="false" ht="31.5" outlineLevel="0" r="34">
      <c r="A34" s="6" t="s">
        <v>0</v>
      </c>
      <c r="B34" s="8" t="s">
        <v>2</v>
      </c>
      <c r="C34" s="9" t="s">
        <v>3</v>
      </c>
      <c r="D34" s="11" t="n">
        <f aca="false" ca="false" dt2D="false" dtr="false" t="normal">SUM('П 17'!F20)</f>
        <v>999.6275452380951</v>
      </c>
      <c r="E34" s="13" t="s">
        <v>6</v>
      </c>
      <c r="G34" s="10" t="n">
        <v>6500</v>
      </c>
      <c r="H34" s="14" t="n">
        <f aca="false" ca="false" dt2D="false" dtr="false" t="normal">SUM(D34/G34)</f>
        <v>0.1537888531135531</v>
      </c>
    </row>
    <row hidden="false" ht="31.5" outlineLevel="0" r="35">
      <c r="A35" s="15" t="s">
        <v>7</v>
      </c>
      <c r="B35" s="8" t="s">
        <v>8</v>
      </c>
      <c r="C35" s="16" t="s">
        <v>9</v>
      </c>
      <c r="D35" s="11" t="n">
        <f aca="false" ca="false" dt2D="false" dtr="false" t="normal">SUM('П 18'!E29)</f>
        <v>1800.0850595238094</v>
      </c>
      <c r="E35" s="13" t="s">
        <v>10</v>
      </c>
      <c r="G35" s="10" t="n">
        <v>1700</v>
      </c>
      <c r="H35" s="14" t="n">
        <f aca="false" ca="false" dt2D="false" dtr="false" t="normal">SUM(D35/G35)</f>
        <v>1.0588735644257703</v>
      </c>
    </row>
    <row hidden="false" ht="15.75" outlineLevel="0" r="36">
      <c r="A36" s="15" t="s">
        <v>17</v>
      </c>
      <c r="B36" s="8" t="s">
        <v>18</v>
      </c>
      <c r="C36" s="24" t="n"/>
      <c r="D36" s="24" t="n"/>
      <c r="E36" s="25" t="n"/>
      <c r="G36" s="10" t="n"/>
      <c r="H36" s="14" t="n"/>
    </row>
    <row hidden="false" ht="15.75" outlineLevel="0" r="37">
      <c r="A37" s="26" t="s">
        <v>20</v>
      </c>
      <c r="B37" s="8" t="s">
        <v>22</v>
      </c>
      <c r="C37" s="15" t="s">
        <v>24</v>
      </c>
      <c r="D37" s="11" t="n">
        <f aca="false" ca="false" dt2D="false" dtr="false" t="normal">SUM('П 19'!K51)</f>
        <v>67500.41748429603</v>
      </c>
      <c r="E37" s="13" t="s">
        <v>25</v>
      </c>
      <c r="G37" s="10" t="n">
        <v>62800</v>
      </c>
      <c r="H37" s="14" t="n">
        <f aca="false" ca="false" dt2D="false" dtr="false" t="normal">SUM(D37/G37)</f>
        <v>1.074847412170319</v>
      </c>
    </row>
    <row hidden="false" ht="15.75" outlineLevel="0" r="38">
      <c r="A38" s="26" t="s">
        <v>27</v>
      </c>
      <c r="B38" s="8" t="s">
        <v>28</v>
      </c>
      <c r="C38" s="15" t="s">
        <v>24</v>
      </c>
      <c r="D38" s="11" t="n">
        <f aca="false" ca="false" dt2D="false" dtr="false" t="normal">SUM('П 20'!K48)</f>
        <v>68499.75442478433</v>
      </c>
      <c r="E38" s="13" t="s">
        <v>29</v>
      </c>
      <c r="G38" s="10" t="n">
        <v>63800</v>
      </c>
      <c r="H38" s="14" t="n">
        <f aca="false" ca="false" dt2D="false" dtr="false" t="normal">SUM(D38/G38)</f>
        <v>1.0736638624574346</v>
      </c>
    </row>
    <row hidden="false" ht="15.75" outlineLevel="0" r="39">
      <c r="A39" s="26" t="s">
        <v>33</v>
      </c>
      <c r="B39" s="8" t="s">
        <v>35</v>
      </c>
      <c r="C39" s="15" t="s">
        <v>24</v>
      </c>
      <c r="D39" s="11" t="n">
        <f aca="false" ca="false" dt2D="false" dtr="false" t="normal">SUM('П 21'!K48)</f>
        <v>57700.49156291578</v>
      </c>
      <c r="E39" s="13" t="s">
        <v>36</v>
      </c>
      <c r="G39" s="10" t="n">
        <v>55100</v>
      </c>
      <c r="H39" s="14" t="n">
        <f aca="false" ca="false" dt2D="false" dtr="false" t="normal">SUM(D39/G39)</f>
        <v>1.0471958541364024</v>
      </c>
    </row>
    <row hidden="false" ht="15.75" outlineLevel="0" r="40">
      <c r="A40" s="26" t="s">
        <v>38</v>
      </c>
      <c r="B40" s="8" t="s">
        <v>39</v>
      </c>
      <c r="C40" s="15" t="s">
        <v>41</v>
      </c>
      <c r="D40" s="11" t="n">
        <f aca="false" ca="false" dt2D="false" dtr="false" t="normal">SUM('П 22'!K37)</f>
        <v>157000.48509348594</v>
      </c>
      <c r="E40" s="36" t="s">
        <v>42</v>
      </c>
      <c r="G40" s="10" t="n">
        <v>127195</v>
      </c>
      <c r="H40" s="14" t="n">
        <f aca="false" ca="false" dt2D="false" dtr="false" t="normal">SUM(D40/G40)</f>
        <v>1.234329062411934</v>
      </c>
    </row>
    <row hidden="false" ht="15.75" outlineLevel="0" r="41">
      <c r="A41" s="26" t="s">
        <v>45</v>
      </c>
      <c r="B41" s="8" t="s">
        <v>46</v>
      </c>
      <c r="C41" s="15" t="s">
        <v>47</v>
      </c>
      <c r="D41" s="11" t="n">
        <f aca="false" ca="false" dt2D="false" dtr="false" t="normal">SUM('П 23'!K36)</f>
        <v>69999.50405316667</v>
      </c>
      <c r="E41" s="13" t="s">
        <v>49</v>
      </c>
      <c r="G41" s="10" t="n">
        <v>56600</v>
      </c>
      <c r="H41" s="14" t="n">
        <f aca="false" ca="false" dt2D="false" dtr="false" t="normal">SUM(D41/G41)</f>
        <v>1.236740354296231</v>
      </c>
    </row>
    <row hidden="false" ht="15.75" outlineLevel="0" r="42">
      <c r="A42" s="26" t="s">
        <v>50</v>
      </c>
      <c r="B42" s="8" t="s">
        <v>52</v>
      </c>
      <c r="C42" s="15" t="s">
        <v>54</v>
      </c>
      <c r="D42" s="39" t="n">
        <f aca="false" ca="false" dt2D="false" dtr="false" t="normal">SUM('П 24'!E28)</f>
        <v>2150.32875</v>
      </c>
      <c r="E42" s="13" t="s">
        <v>56</v>
      </c>
      <c r="G42" s="10" t="n">
        <v>2000</v>
      </c>
      <c r="H42" s="14" t="n">
        <f aca="false" ca="false" dt2D="false" dtr="false" t="normal">SUM(D42/G42)</f>
        <v>1.0751643750000002</v>
      </c>
    </row>
    <row hidden="false" ht="15.75" outlineLevel="0" r="43">
      <c r="A43" s="26" t="s">
        <v>58</v>
      </c>
      <c r="B43" s="8" t="s">
        <v>59</v>
      </c>
      <c r="C43" s="15" t="s">
        <v>60</v>
      </c>
      <c r="D43" s="15" t="s">
        <v>61</v>
      </c>
      <c r="E43" s="13" t="s">
        <v>63</v>
      </c>
      <c r="G43" s="10" t="n"/>
      <c r="H43" s="14" t="n"/>
    </row>
    <row customHeight="true" hidden="false" ht="31.5" outlineLevel="0" r="44">
      <c r="A44" s="15" t="s">
        <v>66</v>
      </c>
      <c r="B44" s="42" t="s">
        <v>67</v>
      </c>
      <c r="C44" s="43" t="s">
        <v>68</v>
      </c>
      <c r="D44" s="39" t="n">
        <f aca="false" ca="false" dt2D="false" dtr="false" t="normal">SUM('П 25'!E31)</f>
        <v>5099.640567499999</v>
      </c>
      <c r="E44" s="13" t="s">
        <v>69</v>
      </c>
      <c r="G44" s="10" t="n">
        <v>4800</v>
      </c>
      <c r="H44" s="14" t="n">
        <f aca="false" ca="false" dt2D="false" dtr="false" t="normal">SUM(D44/G44)</f>
        <v>1.0624251182291664</v>
      </c>
    </row>
    <row hidden="false" ht="31.5" outlineLevel="0" r="45">
      <c r="A45" s="45" t="s"/>
      <c r="B45" s="46" t="s"/>
      <c r="C45" s="43" t="s">
        <v>74</v>
      </c>
      <c r="D45" s="39" t="n">
        <f aca="false" ca="false" dt2D="false" dtr="false" t="normal">SUM('П 25'!E32)</f>
        <v>7450.460851249998</v>
      </c>
      <c r="E45" s="47" t="s"/>
      <c r="G45" s="10" t="n">
        <v>7000</v>
      </c>
      <c r="H45" s="14" t="n">
        <f aca="false" ca="false" dt2D="false" dtr="false" t="normal">SUM(D45/G45)</f>
        <v>1.0643515501785712</v>
      </c>
    </row>
    <row hidden="false" ht="15.75" outlineLevel="0" r="46">
      <c r="A46" s="26" t="s">
        <v>77</v>
      </c>
      <c r="B46" s="42" t="s">
        <v>79</v>
      </c>
      <c r="C46" s="43" t="s">
        <v>80</v>
      </c>
      <c r="D46" s="39" t="n">
        <f aca="false" ca="false" dt2D="false" dtr="false" t="normal">SUM('П 26'!D22)</f>
        <v>4250.11523827381</v>
      </c>
      <c r="E46" s="13" t="s">
        <v>81</v>
      </c>
      <c r="G46" s="10" t="n">
        <v>4000</v>
      </c>
      <c r="H46" s="14" t="n">
        <f aca="false" ca="false" dt2D="false" dtr="false" t="normal">SUM(D46/G46)</f>
        <v>1.0625288095684524</v>
      </c>
    </row>
    <row customHeight="true" hidden="false" ht="15.75" outlineLevel="0" r="47">
      <c r="A47" s="15" t="s">
        <v>84</v>
      </c>
      <c r="B47" s="42" t="s">
        <v>86</v>
      </c>
      <c r="C47" s="43" t="s">
        <v>87</v>
      </c>
      <c r="D47" s="11" t="n">
        <f aca="false" ca="false" dt2D="false" dtr="false" t="normal">SUM('П 27'!D23)</f>
        <v>7500.06804092619</v>
      </c>
      <c r="E47" s="13" t="s">
        <v>88</v>
      </c>
      <c r="G47" s="10" t="n">
        <v>7000</v>
      </c>
      <c r="H47" s="14" t="n">
        <f aca="false" ca="false" dt2D="false" dtr="false" t="normal">SUM(D47/G47)</f>
        <v>1.0714382915608844</v>
      </c>
    </row>
    <row hidden="false" ht="15.75" outlineLevel="0" r="48">
      <c r="A48" s="48" t="s"/>
      <c r="B48" s="49" t="s"/>
      <c r="C48" s="43" t="s">
        <v>93</v>
      </c>
      <c r="D48" s="11" t="n">
        <f aca="false" ca="false" dt2D="false" dtr="false" t="normal">SUM('П 27'!D22)</f>
        <v>15000.13608185238</v>
      </c>
      <c r="E48" s="50" t="s"/>
      <c r="G48" s="10" t="n">
        <v>14000</v>
      </c>
      <c r="H48" s="14" t="n">
        <f aca="false" ca="false" dt2D="false" dtr="false" t="normal">SUM(D48/G48)</f>
        <v>1.0714382915608844</v>
      </c>
    </row>
    <row hidden="false" ht="31.5" outlineLevel="0" r="49">
      <c r="A49" s="51" t="s"/>
      <c r="B49" s="52" t="s"/>
      <c r="C49" s="43" t="s">
        <v>96</v>
      </c>
      <c r="D49" s="11" t="n">
        <f aca="false" ca="false" dt2D="false" dtr="false" t="normal">SUM('П 27'!D24)</f>
        <v>1000</v>
      </c>
      <c r="E49" s="53" t="s"/>
      <c r="G49" s="10" t="n">
        <v>1000</v>
      </c>
      <c r="H49" s="14" t="n">
        <f aca="false" ca="false" dt2D="false" dtr="false" t="normal">SUM(D49/G49)</f>
        <v>1</v>
      </c>
    </row>
    <row customHeight="true" hidden="false" ht="15.75" outlineLevel="0" r="50">
      <c r="A50" s="15" t="s">
        <v>100</v>
      </c>
      <c r="B50" s="42" t="s">
        <v>101</v>
      </c>
      <c r="C50" s="15" t="s">
        <v>102</v>
      </c>
      <c r="D50" s="11" t="n">
        <f aca="false" ca="false" dt2D="false" dtr="false" t="normal">SUM('П 28'!D23)</f>
        <v>11000.174216452382</v>
      </c>
      <c r="E50" s="13" t="s">
        <v>104</v>
      </c>
      <c r="G50" s="10" t="n">
        <v>10000</v>
      </c>
      <c r="H50" s="14" t="n">
        <f aca="false" ca="false" dt2D="false" dtr="false" t="normal">SUM(D50/G50)</f>
        <v>1.1000174216452383</v>
      </c>
    </row>
    <row hidden="false" ht="15.75" outlineLevel="0" r="51">
      <c r="A51" s="54" t="s"/>
      <c r="B51" s="55" t="s"/>
      <c r="C51" s="24" t="s">
        <v>108</v>
      </c>
      <c r="D51" s="11" t="n">
        <f aca="false" ca="false" dt2D="false" dtr="false" t="normal">SUM('П 28'!D22)</f>
        <v>22000.348432904764</v>
      </c>
      <c r="E51" s="56" t="s"/>
      <c r="G51" s="10" t="n">
        <v>20000</v>
      </c>
      <c r="H51" s="14" t="n">
        <f aca="false" ca="false" dt2D="false" dtr="false" t="normal">SUM(D51/G51)</f>
        <v>1.1000174216452383</v>
      </c>
    </row>
    <row hidden="false" ht="31.5" outlineLevel="0" r="52">
      <c r="A52" s="58" t="s"/>
      <c r="B52" s="59" t="s"/>
      <c r="C52" s="43" t="s">
        <v>111</v>
      </c>
      <c r="D52" s="11" t="n">
        <f aca="false" ca="false" dt2D="false" dtr="false" t="normal">SUM('П 28'!D24)</f>
        <v>500</v>
      </c>
      <c r="E52" s="60" t="s"/>
      <c r="G52" s="10" t="n">
        <v>500</v>
      </c>
      <c r="H52" s="14" t="n">
        <f aca="false" ca="false" dt2D="false" dtr="false" t="normal">SUM(D52/G52)</f>
        <v>1</v>
      </c>
    </row>
    <row customHeight="true" hidden="false" ht="15.75" outlineLevel="0" r="53">
      <c r="A53" s="15" t="s">
        <v>115</v>
      </c>
      <c r="B53" s="42" t="s">
        <v>116</v>
      </c>
      <c r="C53" s="15" t="s">
        <v>117</v>
      </c>
      <c r="D53" s="11" t="n">
        <f aca="false" ca="false" dt2D="false" dtr="false" t="normal">SUM('П 29'!E18)</f>
        <v>103000.15231799998</v>
      </c>
      <c r="E53" s="13" t="s">
        <v>119</v>
      </c>
      <c r="G53" s="10" t="n">
        <v>97109</v>
      </c>
      <c r="H53" s="14" t="n">
        <f aca="false" ca="false" dt2D="false" dtr="false" t="normal">SUM(D53/G53)</f>
        <v>1.0606653587000172</v>
      </c>
    </row>
    <row hidden="false" ht="15.75" outlineLevel="0" r="54">
      <c r="A54" s="62" t="s"/>
      <c r="B54" s="63" t="s"/>
      <c r="C54" s="64" t="s">
        <v>122</v>
      </c>
      <c r="D54" s="11" t="n">
        <f aca="false" ca="false" dt2D="false" dtr="false" t="normal">SUM('П 29'!E19)</f>
        <v>1299.5019039749998</v>
      </c>
      <c r="E54" s="65" t="s"/>
      <c r="G54" s="10" t="n">
        <v>1214</v>
      </c>
      <c r="H54" s="14" t="n">
        <f aca="false" ca="false" dt2D="false" dtr="false" t="normal">SUM(D54/G54)</f>
        <v>1.070429904427512</v>
      </c>
    </row>
    <row customHeight="true" hidden="false" ht="23.25" outlineLevel="0" r="55">
      <c r="A55" s="15" t="s">
        <v>125</v>
      </c>
      <c r="B55" s="66" t="s">
        <v>126</v>
      </c>
      <c r="C55" s="9" t="s">
        <v>128</v>
      </c>
      <c r="D55" s="72" t="n">
        <f aca="false" ca="false" dt2D="false" dtr="false" t="normal">SUM('П 30'!E21)</f>
        <v>749.5026259920635</v>
      </c>
      <c r="E55" s="73" t="s">
        <v>129</v>
      </c>
      <c r="G55" s="10" t="n">
        <v>700</v>
      </c>
      <c r="H55" s="14" t="n">
        <f aca="false" ca="false" dt2D="false" dtr="false" t="normal">SUM(D55/G55)</f>
        <v>1.0707180371315193</v>
      </c>
    </row>
    <row customHeight="true" hidden="false" ht="23.25" outlineLevel="0" r="56">
      <c r="A56" s="15" t="s">
        <v>133</v>
      </c>
      <c r="B56" s="8" t="s">
        <v>134</v>
      </c>
      <c r="C56" s="66" t="n"/>
      <c r="D56" s="11" t="n"/>
      <c r="E56" s="13" t="n"/>
      <c r="G56" s="10" t="n"/>
    </row>
    <row customHeight="true" hidden="false" ht="30.75" outlineLevel="0" r="57">
      <c r="A57" s="15" t="s">
        <v>136</v>
      </c>
      <c r="B57" s="8" t="s">
        <v>137</v>
      </c>
      <c r="C57" s="9" t="s">
        <v>138</v>
      </c>
      <c r="D57" s="11" t="n">
        <f aca="false" ca="false" dt2D="false" dtr="false" t="normal">SUM('П 31'!K32)</f>
        <v>19399.699851704543</v>
      </c>
      <c r="E57" s="73" t="s">
        <v>140</v>
      </c>
      <c r="G57" s="10" t="n"/>
    </row>
    <row customHeight="true" hidden="false" ht="23.25" outlineLevel="0" r="58">
      <c r="A58" s="15" t="s">
        <v>143</v>
      </c>
      <c r="B58" s="8" t="s">
        <v>144</v>
      </c>
      <c r="C58" s="78" t="s">
        <v>145</v>
      </c>
      <c r="D58" s="11" t="n">
        <f aca="false" ca="false" dt2D="false" dtr="false" t="normal">SUM('П 32'!K20)</f>
        <v>6400.388391200001</v>
      </c>
      <c r="E58" s="73" t="s">
        <v>148</v>
      </c>
      <c r="G58" s="10" t="n"/>
    </row>
    <row customHeight="true" hidden="false" ht="32.25" outlineLevel="0" r="59">
      <c r="A59" s="81" t="s">
        <v>149</v>
      </c>
      <c r="B59" s="8" t="s">
        <v>150</v>
      </c>
      <c r="C59" s="9" t="s">
        <v>60</v>
      </c>
      <c r="D59" s="82" t="s">
        <v>107</v>
      </c>
      <c r="E59" s="13" t="s">
        <v>63</v>
      </c>
      <c r="G59" s="10" t="n"/>
    </row>
    <row hidden="false" ht="15.75" outlineLevel="0" r="60">
      <c r="A60" s="26" t="s">
        <v>154</v>
      </c>
      <c r="B60" s="8" t="s">
        <v>155</v>
      </c>
      <c r="C60" s="9" t="s">
        <v>60</v>
      </c>
      <c r="D60" s="11" t="s">
        <v>107</v>
      </c>
      <c r="E60" s="13" t="s">
        <v>63</v>
      </c>
      <c r="G60" s="10" t="n"/>
      <c r="H60" s="83" t="n"/>
    </row>
    <row hidden="false" ht="15.75" outlineLevel="0" r="61">
      <c r="A61" s="15" t="s">
        <v>157</v>
      </c>
      <c r="B61" s="8" t="s">
        <v>158</v>
      </c>
      <c r="C61" s="9" t="s">
        <v>60</v>
      </c>
      <c r="D61" s="11" t="s">
        <v>107</v>
      </c>
      <c r="E61" s="13" t="s">
        <v>63</v>
      </c>
      <c r="H61" s="83" t="n"/>
    </row>
    <row hidden="false" ht="15.75" outlineLevel="0" r="62">
      <c r="A62" s="15" t="s">
        <v>160</v>
      </c>
      <c r="B62" s="8" t="s">
        <v>161</v>
      </c>
      <c r="C62" s="9" t="s">
        <v>60</v>
      </c>
      <c r="D62" s="11" t="s">
        <v>107</v>
      </c>
      <c r="E62" s="13" t="s">
        <v>63</v>
      </c>
      <c r="H62" s="83" t="n"/>
    </row>
    <row hidden="false" ht="15.75" outlineLevel="0" r="63">
      <c r="A63" s="15" t="s">
        <v>163</v>
      </c>
      <c r="B63" s="8" t="s">
        <v>164</v>
      </c>
      <c r="C63" s="9" t="s">
        <v>60</v>
      </c>
      <c r="D63" s="11" t="s">
        <v>107</v>
      </c>
      <c r="E63" s="13" t="s">
        <v>63</v>
      </c>
      <c r="H63" s="83" t="n"/>
    </row>
    <row hidden="false" ht="15.75" outlineLevel="0" r="64">
      <c r="A64" s="15" t="s">
        <v>165</v>
      </c>
      <c r="B64" s="8" t="s">
        <v>166</v>
      </c>
      <c r="C64" s="9" t="s">
        <v>60</v>
      </c>
      <c r="D64" s="11" t="s">
        <v>168</v>
      </c>
      <c r="E64" s="13" t="s">
        <v>63</v>
      </c>
    </row>
    <row hidden="false" ht="15.75" outlineLevel="0" r="65">
      <c r="A65" s="1" t="n"/>
    </row>
    <row hidden="false" ht="15.75" outlineLevel="0" r="66">
      <c r="A66" s="1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27">
    <mergeCell ref="D1:E1"/>
    <mergeCell ref="C2:E2"/>
    <mergeCell ref="A4:E4"/>
    <mergeCell ref="B3:D3"/>
    <mergeCell ref="A7:D7"/>
    <mergeCell ref="B9:B10"/>
    <mergeCell ref="A9:A10"/>
    <mergeCell ref="A50:A52"/>
    <mergeCell ref="B50:B52"/>
    <mergeCell ref="E50:E52"/>
    <mergeCell ref="A47:A49"/>
    <mergeCell ref="B47:B49"/>
    <mergeCell ref="E47:E49"/>
    <mergeCell ref="A44:A45"/>
    <mergeCell ref="E44:E45"/>
    <mergeCell ref="B44:B45"/>
    <mergeCell ref="A53:A54"/>
    <mergeCell ref="B53:B54"/>
    <mergeCell ref="E53:E54"/>
    <mergeCell ref="A25:E25"/>
    <mergeCell ref="E26:E27"/>
    <mergeCell ref="A29:A31"/>
    <mergeCell ref="B29:B31"/>
    <mergeCell ref="E29:E31"/>
    <mergeCell ref="A32:A33"/>
    <mergeCell ref="B32:B33"/>
    <mergeCell ref="E32:E33"/>
  </mergeCells>
  <hyperlinks>
    <hyperlink location=" П 2.1.!A1" ref="E10"/>
    <hyperlink location=" П 3!A1" ref="E11"/>
    <hyperlink location=" П 4 !A1" ref="E12"/>
    <hyperlink location=" П 5!A1" ref="E13"/>
    <hyperlink location=" П 6!A1" ref="E14"/>
    <hyperlink location=" П 7!A1" ref="E15"/>
    <hyperlink location="П 8!A1" ref="E16"/>
    <hyperlink location="П 9!A1" ref="E17"/>
    <hyperlink location="П 10!A1" ref="E18"/>
    <hyperlink location="П 11 !A1" ref="E19"/>
    <hyperlink location="П 12!A1" ref="E21"/>
    <hyperlink location=" П 13!A1" ref="E22"/>
    <hyperlink location="П 14!A1" ref="E26"/>
    <hyperlink location="П 15!A1" ref="E29"/>
    <hyperlink location="П 16!A1" ref="E32"/>
    <hyperlink location="П 17!A1" ref="E34"/>
    <hyperlink location="П 18!A1" ref="E35"/>
    <hyperlink location="П 19!A1" ref="E37"/>
    <hyperlink location="П 20!A1" ref="E38"/>
    <hyperlink location="П 21!A1" ref="E39"/>
    <hyperlink location="П 22!A1" ref="E40"/>
    <hyperlink location="П 23!A1" ref="E41"/>
    <hyperlink location="П 24!A1" ref="E42"/>
    <hyperlink location="П 25!A1" ref="E44"/>
    <hyperlink location="П 26!A1" ref="E46"/>
    <hyperlink location="П 27!A1" ref="E47"/>
    <hyperlink location="П 28!A1" ref="E50"/>
    <hyperlink location="П 29!A1" ref="E53"/>
    <hyperlink location="П 30!A1" ref="E55"/>
    <hyperlink location="П 31!A1" ref="E57"/>
    <hyperlink location="П 32!A1" ref="E58"/>
    <hyperlink location="П 1!A1" ref="E8"/>
    <hyperlink location=" П 2!A1" ref="E9"/>
  </hyperlink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10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O56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" min="1" outlineLevel="0" style="398" width="4.35056646141734"/>
    <col customWidth="true" hidden="false" max="3" min="3" outlineLevel="0" style="398" width="16.0605953262429"/>
    <col customWidth="true" hidden="false" max="11" min="11" outlineLevel="0" style="398" width="12.3907298962487"/>
    <col customWidth="true" hidden="false" max="13" min="13" outlineLevel="0" style="398" width="5.77115977119936"/>
    <col customWidth="true" hidden="false" max="14" min="14" outlineLevel="0" style="398" width="9.28318165047662"/>
  </cols>
  <sheetData>
    <row hidden="false" ht="15" outlineLevel="0" r="1">
      <c r="A1" s="93" t="n"/>
      <c r="B1" s="1524" t="n"/>
      <c r="C1" s="1524" t="s"/>
      <c r="D1" s="1524" t="s"/>
      <c r="E1" s="1524" t="s"/>
      <c r="F1" s="1524" t="s"/>
      <c r="G1" s="1524" t="s"/>
      <c r="H1" s="1524" t="s"/>
      <c r="I1" s="1524" t="s"/>
      <c r="J1" s="1524" t="s"/>
      <c r="K1" s="1524" t="s"/>
      <c r="L1" s="1524" t="s"/>
      <c r="M1" s="1524" t="s"/>
      <c r="N1" s="1524" t="s"/>
      <c r="O1" s="93" t="n"/>
    </row>
    <row hidden="false" ht="15.75" outlineLevel="0" r="2">
      <c r="A2" s="93" t="n"/>
      <c r="B2" s="1524" t="n"/>
      <c r="C2" s="1524" t="n"/>
      <c r="D2" s="1524" t="n"/>
      <c r="E2" s="1524" t="n"/>
      <c r="F2" s="1524" t="n"/>
      <c r="G2" s="1524" t="n"/>
      <c r="H2" s="1524" t="n"/>
      <c r="I2" s="101" t="s">
        <v>175</v>
      </c>
      <c r="J2" s="101" t="n"/>
      <c r="K2" s="4" t="n"/>
      <c r="L2" s="104" t="n"/>
      <c r="M2" s="104" t="n"/>
      <c r="N2" s="104" t="n"/>
      <c r="O2" s="104" t="n"/>
    </row>
    <row hidden="false" ht="15.75" outlineLevel="0" r="3">
      <c r="A3" s="93" t="n"/>
      <c r="B3" s="1524" t="n"/>
      <c r="C3" s="1524" t="n"/>
      <c r="D3" s="1524" t="n"/>
      <c r="E3" s="1524" t="n"/>
      <c r="F3" s="1524" t="n"/>
      <c r="G3" s="1524" t="n"/>
      <c r="H3" s="1524" t="n"/>
      <c r="I3" s="105" t="s">
        <v>176</v>
      </c>
      <c r="J3" s="4" t="n"/>
      <c r="K3" s="4" t="n"/>
      <c r="L3" s="4" t="n"/>
      <c r="M3" s="4" t="n"/>
      <c r="N3" s="4" t="n"/>
      <c r="O3" s="4" t="n"/>
    </row>
    <row hidden="false" ht="15.75" outlineLevel="0" r="4">
      <c r="A4" s="93" t="n"/>
      <c r="B4" s="1524" t="n"/>
      <c r="C4" s="1524" t="n"/>
      <c r="D4" s="1524" t="n"/>
      <c r="E4" s="1524" t="n"/>
      <c r="F4" s="1524" t="n"/>
      <c r="G4" s="1524" t="n"/>
      <c r="H4" s="1524" t="n"/>
      <c r="I4" s="101" t="s">
        <v>226</v>
      </c>
      <c r="J4" s="101" t="s"/>
      <c r="K4" s="101" t="s"/>
      <c r="L4" s="101" t="s"/>
      <c r="M4" s="101" t="s"/>
      <c r="N4" s="101" t="s"/>
      <c r="O4" s="101" t="s"/>
    </row>
    <row hidden="false" ht="15.75" outlineLevel="0" r="5">
      <c r="A5" s="93" t="n"/>
      <c r="B5" s="1524" t="n"/>
      <c r="C5" s="1524" t="n"/>
      <c r="D5" s="1524" t="n"/>
      <c r="E5" s="1524" t="n"/>
      <c r="F5" s="1524" t="n"/>
      <c r="G5" s="1524" t="n"/>
      <c r="H5" s="1524" t="n"/>
      <c r="I5" s="105" t="s">
        <v>178</v>
      </c>
      <c r="J5" s="105" t="n"/>
      <c r="K5" s="4" t="n"/>
      <c r="L5" s="4" t="n"/>
      <c r="M5" s="4" t="n"/>
      <c r="N5" s="4" t="n"/>
      <c r="O5" s="4" t="n"/>
    </row>
    <row hidden="false" ht="15" outlineLevel="0" r="6">
      <c r="A6" s="93" t="n"/>
      <c r="B6" s="1524" t="n"/>
      <c r="C6" s="1524" t="n"/>
      <c r="D6" s="1524" t="n"/>
      <c r="E6" s="1524" t="n"/>
      <c r="F6" s="1524" t="n"/>
      <c r="G6" s="1524" t="n"/>
      <c r="H6" s="1524" t="n"/>
      <c r="I6" s="1524" t="n"/>
      <c r="J6" s="1524" t="n"/>
      <c r="K6" s="1524" t="n"/>
      <c r="L6" s="1524" t="n"/>
      <c r="M6" s="1524" t="n"/>
      <c r="N6" s="1524" t="n"/>
      <c r="O6" s="93" t="n"/>
    </row>
    <row customHeight="true" hidden="false" ht="56.25" outlineLevel="0" r="7">
      <c r="A7" s="403" t="s">
        <v>275</v>
      </c>
      <c r="B7" s="403" t="s"/>
      <c r="C7" s="403" t="s"/>
      <c r="D7" s="403" t="s"/>
      <c r="E7" s="403" t="s"/>
      <c r="F7" s="403" t="s"/>
      <c r="G7" s="403" t="s"/>
      <c r="H7" s="403" t="s"/>
      <c r="I7" s="403" t="s"/>
      <c r="J7" s="403" t="s"/>
      <c r="K7" s="403" t="s"/>
      <c r="L7" s="403" t="s"/>
      <c r="M7" s="403" t="s"/>
      <c r="N7" s="403" t="s"/>
      <c r="O7" s="93" t="n"/>
    </row>
    <row hidden="false" ht="15.75" outlineLevel="0" r="8">
      <c r="A8" s="4" t="n"/>
      <c r="B8" s="101" t="s">
        <v>232</v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93" t="n"/>
    </row>
    <row customHeight="true" hidden="false" ht="120" outlineLevel="0" r="9">
      <c r="A9" s="124" t="n"/>
      <c r="B9" s="129" t="s">
        <v>184</v>
      </c>
      <c r="C9" s="2066" t="s"/>
      <c r="D9" s="129" t="s">
        <v>233</v>
      </c>
      <c r="E9" s="2070" t="s"/>
      <c r="F9" s="2072" t="s"/>
      <c r="G9" s="129" t="s">
        <v>186</v>
      </c>
      <c r="H9" s="2076" t="s"/>
      <c r="I9" s="129" t="s">
        <v>187</v>
      </c>
      <c r="J9" s="2078" t="s"/>
      <c r="K9" s="2079" t="s"/>
      <c r="L9" s="129" t="s">
        <v>188</v>
      </c>
      <c r="M9" s="2080" t="s"/>
      <c r="N9" s="2081" t="s"/>
      <c r="O9" s="93" t="n"/>
    </row>
    <row customHeight="true" hidden="false" ht="15.75" outlineLevel="0" r="10">
      <c r="A10" s="17" t="n">
        <v>1</v>
      </c>
      <c r="B10" s="144" t="s">
        <v>276</v>
      </c>
      <c r="C10" s="2082" t="s"/>
      <c r="D10" s="153" t="n">
        <f aca="false" ca="false" dt2D="false" dtr="false" t="normal">67733*1.302</f>
        <v>88188.36600000001</v>
      </c>
      <c r="E10" s="2091" t="s"/>
      <c r="F10" s="2092" t="s"/>
      <c r="G10" s="384" t="n">
        <v>9600</v>
      </c>
      <c r="H10" s="2093" t="s"/>
      <c r="I10" s="159" t="n">
        <f aca="false" ca="false" dt2D="false" dtr="false" t="normal">10.1*60</f>
        <v>606</v>
      </c>
      <c r="J10" s="2101" t="s"/>
      <c r="K10" s="2103" t="s"/>
      <c r="L10" s="153" t="n">
        <f aca="false" ca="false" dt2D="false" dtr="false" t="normal">D10/G10*I10</f>
        <v>5566.89060375</v>
      </c>
      <c r="M10" s="2104" t="s"/>
      <c r="N10" s="2105" t="s"/>
      <c r="O10" s="93" t="n"/>
    </row>
    <row customHeight="true" hidden="false" ht="15.75" outlineLevel="0" r="11">
      <c r="A11" s="17" t="n">
        <v>2</v>
      </c>
      <c r="B11" s="144" t="s">
        <v>237</v>
      </c>
      <c r="C11" s="2114" t="s"/>
      <c r="D11" s="225" t="n">
        <f aca="false" ca="false" dt2D="false" dtr="false" t="normal">98188.2*1.302</f>
        <v>127841.0364</v>
      </c>
      <c r="E11" s="2115" t="s"/>
      <c r="F11" s="2116" t="s"/>
      <c r="G11" s="384" t="n">
        <v>9600</v>
      </c>
      <c r="H11" s="2117" t="s"/>
      <c r="I11" s="384" t="n">
        <v>20</v>
      </c>
      <c r="J11" s="2118" t="s"/>
      <c r="K11" s="2120" t="s"/>
      <c r="L11" s="153" t="n">
        <f aca="false" ca="false" dt2D="false" dtr="false" t="normal">D11/G11*I11</f>
        <v>266.3354925</v>
      </c>
      <c r="M11" s="2128" t="s"/>
      <c r="N11" s="2129" t="s"/>
      <c r="O11" s="93" t="n"/>
    </row>
    <row customHeight="true" hidden="false" ht="15.75" outlineLevel="0" r="12">
      <c r="A12" s="17" t="n"/>
      <c r="B12" s="144" t="s">
        <v>183</v>
      </c>
      <c r="C12" s="2130" t="s"/>
      <c r="D12" s="153" t="n">
        <f aca="false" ca="false" dt2D="false" dtr="false" t="normal">SUM(D10:F11)</f>
        <v>216029.40240000002</v>
      </c>
      <c r="E12" s="2133" t="s"/>
      <c r="F12" s="2135" t="s"/>
      <c r="G12" s="384" t="n">
        <f aca="false" ca="false" dt2D="false" dtr="false" t="normal">SUM(G10:H11)</f>
        <v>19200</v>
      </c>
      <c r="H12" s="2141" t="s"/>
      <c r="I12" s="384" t="n">
        <f aca="false" ca="false" dt2D="false" dtr="false" t="normal">SUM(I10:K11)</f>
        <v>626</v>
      </c>
      <c r="J12" s="2142" t="s"/>
      <c r="K12" s="2143" t="s"/>
      <c r="L12" s="630" t="n">
        <f aca="false" ca="false" dt2D="false" dtr="false" t="normal">SUM(L10:N11)</f>
        <v>5833.22609625</v>
      </c>
      <c r="M12" s="2144" t="s"/>
      <c r="N12" s="2145" t="s"/>
      <c r="O12" s="93" t="n"/>
    </row>
    <row customHeight="true" hidden="false" ht="15.75" outlineLevel="0" r="13">
      <c r="A13" s="1" t="n"/>
      <c r="B13" s="104" t="n"/>
      <c r="C13" s="104" t="s"/>
      <c r="D13" s="435" t="n"/>
      <c r="E13" s="435" t="s"/>
      <c r="F13" s="435" t="s"/>
      <c r="G13" s="119" t="n"/>
      <c r="H13" s="119" t="s"/>
      <c r="I13" s="119" t="n"/>
      <c r="J13" s="119" t="s"/>
      <c r="K13" s="119" t="s"/>
      <c r="L13" s="119" t="n"/>
      <c r="M13" s="119" t="s"/>
      <c r="N13" s="119" t="s"/>
      <c r="O13" s="93" t="n"/>
    </row>
    <row customHeight="true" hidden="false" ht="15.75" outlineLevel="0" r="14">
      <c r="A14" s="1" t="n"/>
      <c r="B14" s="444" t="s">
        <v>198</v>
      </c>
      <c r="C14" s="2154" t="s"/>
      <c r="D14" s="2156" t="s"/>
      <c r="E14" s="2158" t="s"/>
      <c r="F14" s="2160" t="s"/>
      <c r="G14" s="119" t="n"/>
      <c r="H14" s="119" t="n"/>
      <c r="I14" s="119" t="n"/>
      <c r="J14" s="119" t="s"/>
      <c r="K14" s="119" t="s"/>
      <c r="L14" s="352" t="n"/>
      <c r="M14" s="2166" t="s"/>
      <c r="N14" s="2167" t="s"/>
      <c r="O14" s="93" t="n"/>
    </row>
    <row customHeight="true" hidden="false" ht="57.75" outlineLevel="0" r="15">
      <c r="A15" s="20" t="n"/>
      <c r="B15" s="129" t="s">
        <v>200</v>
      </c>
      <c r="C15" s="2168" t="s"/>
      <c r="D15" s="129" t="s">
        <v>201</v>
      </c>
      <c r="E15" s="2169" t="s"/>
      <c r="F15" s="2170" t="s"/>
      <c r="G15" s="129" t="s">
        <v>202</v>
      </c>
      <c r="H15" s="2172" t="s"/>
      <c r="I15" s="129" t="s">
        <v>267</v>
      </c>
      <c r="J15" s="2177" t="s"/>
      <c r="K15" s="2179" t="s"/>
      <c r="L15" s="129" t="s">
        <v>273</v>
      </c>
      <c r="M15" s="2182" t="s"/>
      <c r="N15" s="2183" t="s"/>
      <c r="O15" s="93" t="n"/>
    </row>
    <row customHeight="true" hidden="false" ht="15.75" outlineLevel="0" r="16">
      <c r="A16" s="17" t="n">
        <v>1</v>
      </c>
      <c r="B16" s="32" t="s">
        <v>205</v>
      </c>
      <c r="C16" s="2184" t="s"/>
      <c r="D16" s="95" t="s">
        <v>207</v>
      </c>
      <c r="E16" s="2190" t="s"/>
      <c r="F16" s="2191" t="s"/>
      <c r="G16" s="95" t="n">
        <v>10</v>
      </c>
      <c r="H16" s="2194" t="s"/>
      <c r="I16" s="95" t="n">
        <f aca="false" ca="false" dt2D="false" dtr="false" t="normal">SUM(587/500)</f>
        <v>1.174</v>
      </c>
      <c r="J16" s="2196" t="s"/>
      <c r="K16" s="2197" t="s"/>
      <c r="L16" s="95" t="n">
        <f aca="false" ca="false" dt2D="false" dtr="false" t="normal">G16*I16</f>
        <v>11.739999999999998</v>
      </c>
      <c r="M16" s="2198" t="s"/>
      <c r="N16" s="2199" t="s"/>
      <c r="O16" s="93" t="n"/>
    </row>
    <row customHeight="true" hidden="false" ht="15.75" outlineLevel="0" r="17">
      <c r="A17" s="17" t="n">
        <v>2</v>
      </c>
      <c r="B17" s="32" t="s">
        <v>209</v>
      </c>
      <c r="C17" s="2200" t="s"/>
      <c r="D17" s="95" t="s">
        <v>210</v>
      </c>
      <c r="E17" s="2201" t="s"/>
      <c r="F17" s="2202" t="s"/>
      <c r="G17" s="95" t="n">
        <v>0.09</v>
      </c>
      <c r="H17" s="2203" t="s"/>
      <c r="I17" s="95" t="n">
        <v>1250</v>
      </c>
      <c r="J17" s="2204" t="s"/>
      <c r="K17" s="2205" t="s"/>
      <c r="L17" s="95" t="n">
        <f aca="false" ca="false" dt2D="false" dtr="false" t="normal">G17*I17</f>
        <v>112.5</v>
      </c>
      <c r="M17" s="2206" t="s"/>
      <c r="N17" s="2208" t="s"/>
      <c r="O17" s="93" t="n"/>
    </row>
    <row customHeight="true" hidden="false" ht="15.75" outlineLevel="0" r="18">
      <c r="A18" s="124" t="n"/>
      <c r="B18" s="32" t="n"/>
      <c r="C18" s="2213" t="s"/>
      <c r="D18" s="95" t="n"/>
      <c r="E18" s="2216" t="s"/>
      <c r="F18" s="2218" t="s"/>
      <c r="G18" s="95" t="n"/>
      <c r="H18" s="2219" t="s"/>
      <c r="I18" s="95" t="n"/>
      <c r="J18" s="2220" t="s"/>
      <c r="K18" s="2221" t="s"/>
      <c r="L18" s="136" t="n">
        <f aca="false" ca="false" dt2D="false" dtr="false" t="normal">SUM(L16:N17)</f>
        <v>124.24</v>
      </c>
      <c r="M18" s="2224" t="s"/>
      <c r="N18" s="2225" t="s"/>
      <c r="O18" s="93" t="n"/>
    </row>
    <row hidden="false" ht="15.75" outlineLevel="0" r="19">
      <c r="A19" s="4" t="n"/>
      <c r="B19" s="119" t="n"/>
      <c r="C19" s="119" t="n"/>
      <c r="D19" s="119" t="n"/>
      <c r="E19" s="119" t="n"/>
      <c r="F19" s="119" t="n"/>
      <c r="G19" s="119" t="n"/>
      <c r="H19" s="119" t="n"/>
      <c r="I19" s="119" t="n"/>
      <c r="J19" s="119" t="n"/>
      <c r="K19" s="119" t="n"/>
      <c r="L19" s="253" t="n"/>
      <c r="M19" s="253" t="n"/>
      <c r="N19" s="253" t="n"/>
      <c r="O19" s="93" t="n"/>
    </row>
    <row hidden="false" ht="15.75" outlineLevel="0" r="20">
      <c r="A20" s="4" t="n"/>
      <c r="B20" s="119" t="n"/>
      <c r="C20" s="119" t="n"/>
      <c r="D20" s="119" t="n"/>
      <c r="E20" s="119" t="n"/>
      <c r="F20" s="119" t="n"/>
      <c r="G20" s="119" t="n"/>
      <c r="H20" s="119" t="n"/>
      <c r="I20" s="119" t="n"/>
      <c r="J20" s="119" t="n"/>
      <c r="K20" s="119" t="n"/>
      <c r="L20" s="253" t="n"/>
      <c r="M20" s="253" t="n"/>
      <c r="N20" s="253" t="n"/>
      <c r="O20" s="93" t="n"/>
    </row>
    <row hidden="false" ht="15.75" outlineLevel="0" r="21">
      <c r="A21" s="4" t="n"/>
      <c r="B21" s="105" t="s">
        <v>212</v>
      </c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93" t="n"/>
    </row>
    <row customHeight="true" hidden="false" ht="87" outlineLevel="0" r="22">
      <c r="A22" s="124" t="n"/>
      <c r="B22" s="129" t="s">
        <v>213</v>
      </c>
      <c r="C22" s="2243" t="s"/>
      <c r="D22" s="129" t="s">
        <v>214</v>
      </c>
      <c r="E22" s="2247" t="s"/>
      <c r="F22" s="2248" t="s"/>
      <c r="G22" s="259" t="s">
        <v>215</v>
      </c>
      <c r="H22" s="169" t="s">
        <v>216</v>
      </c>
      <c r="I22" s="2251" t="s"/>
      <c r="J22" s="129" t="s">
        <v>217</v>
      </c>
      <c r="K22" s="2252" t="s"/>
      <c r="L22" s="2253" t="s"/>
      <c r="M22" s="129" t="s">
        <v>218</v>
      </c>
      <c r="N22" s="2257" t="s"/>
      <c r="O22" s="93" t="n"/>
    </row>
    <row customHeight="true" hidden="false" ht="15.75" outlineLevel="0" r="23">
      <c r="A23" s="17" t="n">
        <v>1</v>
      </c>
      <c r="B23" s="32" t="s">
        <v>173</v>
      </c>
      <c r="C23" s="2263" t="s"/>
      <c r="D23" s="95" t="n">
        <v>70000</v>
      </c>
      <c r="E23" s="2264" t="s"/>
      <c r="F23" s="2265" t="s"/>
      <c r="G23" s="98" t="n">
        <v>0.3</v>
      </c>
      <c r="H23" s="99" t="s">
        <v>174</v>
      </c>
      <c r="I23" s="2266" t="s"/>
      <c r="J23" s="95" t="n">
        <v>10</v>
      </c>
      <c r="K23" s="2268" t="s"/>
      <c r="L23" s="2270" t="s"/>
      <c r="M23" s="106" t="n">
        <f aca="false" ca="false" dt2D="false" dtr="false" t="normal">D23*G23/H23*J23</f>
        <v>131.25</v>
      </c>
      <c r="N23" s="2277" t="s"/>
      <c r="O23" s="93" t="n"/>
    </row>
    <row customHeight="true" hidden="false" ht="15.75" outlineLevel="0" r="24">
      <c r="A24" s="17" t="n">
        <v>2</v>
      </c>
      <c r="B24" s="32" t="s">
        <v>179</v>
      </c>
      <c r="C24" s="2278" t="s"/>
      <c r="D24" s="95" t="n">
        <v>17856</v>
      </c>
      <c r="E24" s="2282" t="s"/>
      <c r="F24" s="2285" t="s"/>
      <c r="G24" s="98" t="n">
        <v>0.3</v>
      </c>
      <c r="H24" s="99" t="s">
        <v>174</v>
      </c>
      <c r="I24" s="2289" t="s"/>
      <c r="J24" s="95" t="n">
        <v>0.5</v>
      </c>
      <c r="K24" s="2290" t="s"/>
      <c r="L24" s="2291" t="s"/>
      <c r="M24" s="106" t="n">
        <f aca="false" ca="false" dt2D="false" dtr="false" t="normal">D24*G24/H24*J24</f>
        <v>1.6740000000000002</v>
      </c>
      <c r="N24" s="2293" t="s"/>
      <c r="O24" s="93" t="n"/>
    </row>
    <row hidden="false" ht="15.75" outlineLevel="0" r="25">
      <c r="A25" s="124" t="n"/>
      <c r="B25" s="95" t="n"/>
      <c r="C25" s="2300" t="s"/>
      <c r="D25" s="95" t="n"/>
      <c r="E25" s="2302" t="s"/>
      <c r="F25" s="2303" t="s"/>
      <c r="G25" s="98" t="n"/>
      <c r="H25" s="99" t="n"/>
      <c r="I25" s="2304" t="s"/>
      <c r="J25" s="95" t="n"/>
      <c r="K25" s="2305" t="s"/>
      <c r="L25" s="2306" t="s"/>
      <c r="M25" s="136" t="n">
        <f aca="false" ca="false" dt2D="false" dtr="false" t="normal">SUM(M23:N24)</f>
        <v>132.924</v>
      </c>
      <c r="N25" s="2307" t="s"/>
      <c r="O25" s="93" t="n"/>
    </row>
    <row hidden="false" ht="15.75" outlineLevel="0" r="26">
      <c r="A26" s="4" t="n"/>
      <c r="B26" s="4" t="n"/>
      <c r="C26" s="4" t="n"/>
      <c r="D26" s="4" t="n"/>
      <c r="E26" s="4" t="n"/>
      <c r="F26" s="4" t="n"/>
      <c r="G26" s="4" t="n"/>
      <c r="H26" s="4" t="n"/>
      <c r="I26" s="558" t="n"/>
      <c r="J26" s="119" t="n"/>
      <c r="K26" s="119" t="n"/>
      <c r="L26" s="4" t="n"/>
      <c r="M26" s="4" t="n"/>
      <c r="N26" s="4" t="n"/>
      <c r="O26" s="93" t="n"/>
    </row>
    <row hidden="false" ht="15.75" outlineLevel="0" r="27">
      <c r="A27" s="4" t="n"/>
      <c r="B27" s="101" t="s">
        <v>219</v>
      </c>
      <c r="C27" s="119" t="n"/>
      <c r="D27" s="119" t="n"/>
      <c r="E27" s="119" t="n"/>
      <c r="F27" s="119" t="n"/>
      <c r="G27" s="119" t="n"/>
      <c r="H27" s="119" t="n"/>
      <c r="I27" s="119" t="n"/>
      <c r="J27" s="4" t="n"/>
      <c r="K27" s="4" t="n"/>
      <c r="L27" s="93" t="n"/>
      <c r="M27" s="93" t="n"/>
      <c r="N27" s="93" t="n"/>
      <c r="O27" s="93" t="n"/>
    </row>
    <row customHeight="true" hidden="false" ht="15.75" outlineLevel="0" r="28">
      <c r="A28" s="20" t="n"/>
      <c r="B28" s="266" t="s">
        <v>220</v>
      </c>
      <c r="C28" s="2308" t="s"/>
      <c r="D28" s="2309" t="s"/>
      <c r="E28" s="2310" t="s"/>
      <c r="F28" s="2311" t="s"/>
      <c r="G28" s="2312" t="s"/>
      <c r="H28" s="2313" t="s"/>
      <c r="I28" s="2314" t="s"/>
      <c r="J28" s="2315" t="s"/>
      <c r="K28" s="275" t="s">
        <v>270</v>
      </c>
      <c r="L28" s="93" t="n"/>
      <c r="M28" s="93" t="n"/>
      <c r="N28" s="93" t="n"/>
      <c r="O28" s="93" t="n"/>
    </row>
    <row customHeight="true" hidden="false" ht="15.75" outlineLevel="0" r="29">
      <c r="A29" s="17" t="n">
        <v>1</v>
      </c>
      <c r="B29" s="276" t="s">
        <v>222</v>
      </c>
      <c r="C29" s="2050" t="s"/>
      <c r="D29" s="2051" t="s"/>
      <c r="E29" s="2052" t="s"/>
      <c r="F29" s="2053" t="s"/>
      <c r="G29" s="2054" t="s"/>
      <c r="H29" s="2055" t="s"/>
      <c r="I29" s="2056" t="s"/>
      <c r="J29" s="2057" t="s"/>
      <c r="K29" s="285" t="n">
        <f aca="false" ca="false" dt2D="false" dtr="false" t="normal">SUM(K30:K31)</f>
        <v>102009.0790462165</v>
      </c>
      <c r="L29" s="93" t="n"/>
      <c r="M29" s="93" t="n"/>
      <c r="N29" s="93" t="n"/>
      <c r="O29" s="93" t="n"/>
    </row>
    <row customHeight="true" hidden="false" ht="15.75" outlineLevel="0" r="30">
      <c r="A30" s="17" t="n"/>
      <c r="B30" s="144" t="s">
        <v>223</v>
      </c>
      <c r="C30" s="2058" t="s"/>
      <c r="D30" s="2059" t="s"/>
      <c r="E30" s="2060" t="s"/>
      <c r="F30" s="2061" t="s"/>
      <c r="G30" s="2062" t="s"/>
      <c r="H30" s="2063" t="s"/>
      <c r="I30" s="2064" t="s"/>
      <c r="J30" s="2065" t="s"/>
      <c r="K30" s="285" t="n">
        <f aca="false" ca="false" dt2D="false" dtr="false" t="normal">(15990207-D12)*1.302/218</f>
        <v>94210.91390860183</v>
      </c>
      <c r="L30" s="93" t="n"/>
      <c r="M30" s="93" t="n"/>
      <c r="N30" s="93" t="n"/>
      <c r="O30" s="93" t="n"/>
    </row>
    <row customHeight="true" hidden="false" ht="15.75" outlineLevel="0" r="31">
      <c r="A31" s="17" t="n"/>
      <c r="B31" s="144" t="s">
        <v>224</v>
      </c>
      <c r="C31" s="2067" t="s"/>
      <c r="D31" s="2068" t="s"/>
      <c r="E31" s="2069" t="s"/>
      <c r="F31" s="2071" t="s"/>
      <c r="G31" s="2073" t="s"/>
      <c r="H31" s="2074" t="s"/>
      <c r="I31" s="2075" t="s"/>
      <c r="J31" s="2077" t="s"/>
      <c r="K31" s="285" t="n">
        <f aca="false" ca="false" dt2D="false" dtr="false" t="normal">(200000+1500000)/218</f>
        <v>7798.165137614679</v>
      </c>
      <c r="L31" s="93" t="n"/>
      <c r="M31" s="93" t="n"/>
      <c r="N31" s="93" t="n"/>
      <c r="O31" s="93" t="n"/>
    </row>
    <row customHeight="true" hidden="false" ht="15.75" outlineLevel="0" r="32">
      <c r="A32" s="17" t="n">
        <v>2</v>
      </c>
      <c r="B32" s="144" t="s">
        <v>225</v>
      </c>
      <c r="C32" s="2083" t="s"/>
      <c r="D32" s="2084" t="s"/>
      <c r="E32" s="2085" t="s"/>
      <c r="F32" s="2086" t="s"/>
      <c r="G32" s="2087" t="s"/>
      <c r="H32" s="2088" t="s"/>
      <c r="I32" s="2089" t="s"/>
      <c r="J32" s="2090" t="s"/>
      <c r="K32" s="285" t="n">
        <f aca="false" ca="false" dt2D="false" dtr="false" t="normal">SUM(K33:K34)</f>
        <v>68104.96788990825</v>
      </c>
      <c r="L32" s="93" t="n"/>
      <c r="M32" s="93" t="n"/>
      <c r="N32" s="93" t="n"/>
      <c r="O32" s="93" t="n"/>
    </row>
    <row customHeight="true" hidden="false" ht="15.75" outlineLevel="0" r="33">
      <c r="A33" s="17" t="n"/>
      <c r="B33" s="310" t="s">
        <v>227</v>
      </c>
      <c r="C33" s="2094" t="s"/>
      <c r="D33" s="2095" t="s"/>
      <c r="E33" s="2096" t="s"/>
      <c r="F33" s="2097" t="s"/>
      <c r="G33" s="2098" t="s"/>
      <c r="H33" s="2099" t="s"/>
      <c r="I33" s="2100" t="s"/>
      <c r="J33" s="2102" t="s"/>
      <c r="K33" s="285" t="n">
        <f aca="false" ca="false" dt2D="false" dtr="false" t="normal">2000000/218</f>
        <v>9174.311926605504</v>
      </c>
      <c r="L33" s="93" t="n"/>
      <c r="M33" s="93" t="n"/>
      <c r="N33" s="93" t="n"/>
      <c r="O33" s="93" t="n"/>
    </row>
    <row customHeight="true" hidden="false" ht="15.75" outlineLevel="0" r="34">
      <c r="A34" s="17" t="n"/>
      <c r="B34" s="310" t="s">
        <v>228</v>
      </c>
      <c r="C34" s="2106" t="s"/>
      <c r="D34" s="2107" t="s"/>
      <c r="E34" s="2108" t="s"/>
      <c r="F34" s="2109" t="s"/>
      <c r="G34" s="2110" t="s"/>
      <c r="H34" s="2111" t="s"/>
      <c r="I34" s="2112" t="s"/>
      <c r="J34" s="2113" t="s"/>
      <c r="K34" s="285" t="n">
        <f aca="false" ca="false" dt2D="false" dtr="false" t="normal">(8246883+3800000+800000)/218</f>
        <v>58930.65596330275</v>
      </c>
      <c r="L34" s="93" t="n"/>
      <c r="M34" s="93" t="n"/>
      <c r="N34" s="93" t="n"/>
      <c r="O34" s="93" t="n"/>
    </row>
    <row customHeight="true" hidden="false" ht="15.75" outlineLevel="0" r="35">
      <c r="A35" s="17" t="n">
        <v>3</v>
      </c>
      <c r="B35" s="144" t="s">
        <v>230</v>
      </c>
      <c r="C35" s="2119" t="s"/>
      <c r="D35" s="2121" t="s"/>
      <c r="E35" s="2122" t="s"/>
      <c r="F35" s="2123" t="s"/>
      <c r="G35" s="2124" t="s"/>
      <c r="H35" s="2125" t="s"/>
      <c r="I35" s="2126" t="s"/>
      <c r="J35" s="2127" t="s"/>
      <c r="K35" s="285" t="n">
        <f aca="false" ca="false" dt2D="false" dtr="false" t="normal">M25</f>
        <v>132.924</v>
      </c>
      <c r="L35" s="93" t="n"/>
      <c r="M35" s="93" t="n"/>
      <c r="N35" s="93" t="n"/>
      <c r="O35" s="93" t="n"/>
    </row>
    <row customHeight="true" hidden="false" ht="15.75" outlineLevel="0" r="36">
      <c r="A36" s="17" t="n"/>
      <c r="B36" s="276" t="s">
        <v>183</v>
      </c>
      <c r="C36" s="2131" t="s"/>
      <c r="D36" s="2132" t="s"/>
      <c r="E36" s="2134" t="s"/>
      <c r="F36" s="2136" t="s"/>
      <c r="G36" s="2137" t="s"/>
      <c r="H36" s="2138" t="s"/>
      <c r="I36" s="2139" t="s"/>
      <c r="J36" s="2140" t="s"/>
      <c r="K36" s="285" t="n">
        <f aca="false" ca="false" dt2D="false" dtr="false" t="normal">K32+K35</f>
        <v>68237.89188990825</v>
      </c>
      <c r="L36" s="93" t="n"/>
      <c r="M36" s="93" t="n"/>
      <c r="N36" s="93" t="n"/>
      <c r="O36" s="93" t="n"/>
    </row>
    <row customHeight="true" hidden="false" ht="15.75" outlineLevel="0" r="37">
      <c r="A37" s="17" t="n">
        <v>4</v>
      </c>
      <c r="B37" s="144" t="s">
        <v>231</v>
      </c>
      <c r="C37" s="2146" t="s"/>
      <c r="D37" s="2147" t="s"/>
      <c r="E37" s="2148" t="s"/>
      <c r="F37" s="2149" t="s"/>
      <c r="G37" s="2150" t="s"/>
      <c r="H37" s="2151" t="s"/>
      <c r="I37" s="2152" t="s"/>
      <c r="J37" s="2153" t="s"/>
      <c r="K37" s="285" t="n">
        <f aca="false" ca="false" dt2D="false" dtr="false" t="normal">SUM(D12)</f>
        <v>216029.40240000002</v>
      </c>
      <c r="L37" s="93" t="n"/>
      <c r="M37" s="93" t="n"/>
      <c r="N37" s="93" t="n"/>
      <c r="O37" s="93" t="n"/>
    </row>
    <row customHeight="true" hidden="false" ht="15.75" outlineLevel="0" r="38">
      <c r="A38" s="17" t="n">
        <v>5</v>
      </c>
      <c r="B38" s="276" t="s">
        <v>234</v>
      </c>
      <c r="C38" s="2155" t="s"/>
      <c r="D38" s="2157" t="s"/>
      <c r="E38" s="2159" t="s"/>
      <c r="F38" s="2161" t="s"/>
      <c r="G38" s="2162" t="s"/>
      <c r="H38" s="2163" t="s"/>
      <c r="I38" s="2164" t="s"/>
      <c r="J38" s="2165" t="s"/>
      <c r="K38" s="285" t="n">
        <f aca="false" ca="false" dt2D="false" dtr="false" t="normal">(K29+K32+K35)/K37</f>
        <v>0.7880731467325706</v>
      </c>
      <c r="L38" s="93" t="n"/>
      <c r="M38" s="93" t="n"/>
      <c r="N38" s="93" t="n"/>
      <c r="O38" s="93" t="n"/>
    </row>
    <row customHeight="true" hidden="false" ht="15.75" outlineLevel="0" r="39">
      <c r="A39" s="17" t="n">
        <f aca="false" ca="false" dt2D="false" dtr="false" t="normal">SUM(A38+1)</f>
        <v>6</v>
      </c>
      <c r="B39" s="144" t="s">
        <v>235</v>
      </c>
      <c r="C39" s="2171" t="s"/>
      <c r="D39" s="2173" t="s"/>
      <c r="E39" s="2174" t="s"/>
      <c r="F39" s="2175" t="s"/>
      <c r="G39" s="2176" t="s"/>
      <c r="H39" s="2178" t="s"/>
      <c r="I39" s="2180" t="s"/>
      <c r="J39" s="2181" t="s"/>
      <c r="K39" s="285" t="n">
        <f aca="false" ca="false" dt2D="false" dtr="false" t="normal">L12</f>
        <v>5833.22609625</v>
      </c>
      <c r="L39" s="93" t="n"/>
      <c r="M39" s="93" t="n"/>
      <c r="N39" s="93" t="n"/>
      <c r="O39" s="93" t="n"/>
    </row>
    <row customHeight="true" hidden="false" ht="15.75" outlineLevel="0" r="40">
      <c r="A40" s="383" t="n"/>
      <c r="B40" s="276" t="s">
        <v>236</v>
      </c>
      <c r="C40" s="2185" t="s"/>
      <c r="D40" s="2186" t="s"/>
      <c r="E40" s="2187" t="s"/>
      <c r="F40" s="2188" t="s"/>
      <c r="G40" s="2189" t="s"/>
      <c r="H40" s="2192" t="s"/>
      <c r="I40" s="2193" t="s"/>
      <c r="J40" s="2195" t="s"/>
      <c r="K40" s="395" t="n">
        <f aca="false" ca="false" dt2D="false" dtr="false" t="normal">SUM(K39*K38)</f>
        <v>4597.008845274287</v>
      </c>
      <c r="L40" s="93" t="n"/>
      <c r="M40" s="93" t="n"/>
      <c r="N40" s="93" t="n"/>
      <c r="O40" s="93" t="n"/>
    </row>
    <row hidden="false" ht="12.75" outlineLevel="0" r="41">
      <c r="L41" s="93" t="n"/>
      <c r="M41" s="93" t="n"/>
      <c r="N41" s="93" t="n"/>
      <c r="O41" s="93" t="n"/>
    </row>
    <row customHeight="true" hidden="false" ht="48.75" outlineLevel="0" r="42">
      <c r="A42" s="403" t="s">
        <v>277</v>
      </c>
      <c r="B42" s="403" t="s"/>
      <c r="C42" s="403" t="s"/>
      <c r="D42" s="403" t="s"/>
      <c r="E42" s="403" t="s"/>
      <c r="F42" s="403" t="s"/>
      <c r="G42" s="403" t="s"/>
      <c r="H42" s="403" t="s"/>
      <c r="I42" s="403" t="s"/>
      <c r="J42" s="403" t="s"/>
      <c r="K42" s="403" t="s"/>
      <c r="L42" s="93" t="n"/>
      <c r="M42" s="93" t="n"/>
      <c r="N42" s="93" t="n"/>
      <c r="O42" s="93" t="n"/>
    </row>
    <row customHeight="true" hidden="false" ht="31.5" outlineLevel="0" r="43">
      <c r="A43" s="169" t="s">
        <v>239</v>
      </c>
      <c r="B43" s="169" t="s">
        <v>240</v>
      </c>
      <c r="C43" s="2207" t="s"/>
      <c r="D43" s="2209" t="s"/>
      <c r="E43" s="2210" t="s"/>
      <c r="F43" s="2211" t="s"/>
      <c r="G43" s="2212" t="s"/>
      <c r="H43" s="2214" t="s"/>
      <c r="I43" s="2215" t="s"/>
      <c r="J43" s="2217" t="s"/>
      <c r="K43" s="417" t="s">
        <v>241</v>
      </c>
      <c r="L43" s="93" t="n"/>
      <c r="M43" s="93" t="n"/>
      <c r="N43" s="93" t="n"/>
      <c r="O43" s="93" t="n"/>
    </row>
    <row customHeight="true" hidden="false" ht="15.75" outlineLevel="0" r="44">
      <c r="A44" s="67" t="n">
        <v>1</v>
      </c>
      <c r="B44" s="177" t="s">
        <v>242</v>
      </c>
      <c r="C44" s="2222" t="s"/>
      <c r="D44" s="2223" t="s"/>
      <c r="E44" s="2226" t="s"/>
      <c r="F44" s="2227" t="s"/>
      <c r="G44" s="2228" t="s"/>
      <c r="H44" s="2229" t="s"/>
      <c r="I44" s="2230" t="s"/>
      <c r="J44" s="2231" t="s"/>
      <c r="K44" s="434" t="n">
        <f aca="false" ca="false" dt2D="false" dtr="false" t="normal">SUM(L10)</f>
        <v>5566.89060375</v>
      </c>
      <c r="L44" s="93" t="n"/>
      <c r="M44" s="93" t="n"/>
      <c r="N44" s="93" t="n"/>
      <c r="O44" s="93" t="n"/>
    </row>
    <row customHeight="true" hidden="false" ht="15.75" outlineLevel="0" r="45">
      <c r="A45" s="67" t="n">
        <v>2</v>
      </c>
      <c r="B45" s="189" t="s">
        <v>243</v>
      </c>
      <c r="C45" s="2232" t="s"/>
      <c r="D45" s="2233" t="s"/>
      <c r="E45" s="2234" t="s"/>
      <c r="F45" s="2235" t="s"/>
      <c r="G45" s="2236" t="s"/>
      <c r="H45" s="2237" t="s"/>
      <c r="I45" s="2238" t="s"/>
      <c r="J45" s="2239" t="s"/>
      <c r="K45" s="434" t="n">
        <f aca="false" ca="false" dt2D="false" dtr="false" t="normal">SUM(L18)</f>
        <v>124.24</v>
      </c>
      <c r="L45" s="93" t="n"/>
      <c r="M45" s="93" t="n"/>
      <c r="N45" s="93" t="n"/>
      <c r="O45" s="93" t="n"/>
    </row>
    <row customHeight="true" hidden="false" ht="29.25" outlineLevel="0" r="46">
      <c r="A46" s="67" t="n">
        <v>3</v>
      </c>
      <c r="B46" s="177" t="s">
        <v>244</v>
      </c>
      <c r="C46" s="2240" t="s"/>
      <c r="D46" s="2241" t="s"/>
      <c r="E46" s="2242" t="s"/>
      <c r="F46" s="2244" t="s"/>
      <c r="G46" s="2245" t="s"/>
      <c r="H46" s="2246" t="s"/>
      <c r="I46" s="2249" t="s"/>
      <c r="J46" s="2250" t="s"/>
      <c r="K46" s="434" t="n">
        <f aca="false" ca="false" dt2D="false" dtr="false" t="normal">SUM(M25)</f>
        <v>132.924</v>
      </c>
      <c r="L46" s="93" t="n"/>
      <c r="M46" s="93" t="n"/>
      <c r="N46" s="93" t="n"/>
      <c r="O46" s="93" t="n"/>
    </row>
    <row customHeight="true" hidden="false" ht="15.75" outlineLevel="0" r="47">
      <c r="A47" s="67" t="n">
        <v>4</v>
      </c>
      <c r="B47" s="177" t="s">
        <v>245</v>
      </c>
      <c r="C47" s="2254" t="s"/>
      <c r="D47" s="2255" t="s"/>
      <c r="E47" s="2256" t="s"/>
      <c r="F47" s="2258" t="s"/>
      <c r="G47" s="2259" t="s"/>
      <c r="H47" s="2260" t="s"/>
      <c r="I47" s="2261" t="s"/>
      <c r="J47" s="2262" t="s"/>
      <c r="K47" s="434" t="n">
        <f aca="false" ca="false" dt2D="false" dtr="false" t="normal">SUM(K40)</f>
        <v>4597.008845274287</v>
      </c>
      <c r="L47" s="93" t="n"/>
      <c r="M47" s="93" t="n"/>
      <c r="N47" s="93" t="n"/>
      <c r="O47" s="93" t="n"/>
    </row>
    <row customHeight="true" hidden="false" ht="15.75" outlineLevel="0" r="48">
      <c r="A48" s="67" t="n">
        <v>5</v>
      </c>
      <c r="B48" s="189" t="s">
        <v>247</v>
      </c>
      <c r="C48" s="2267" t="s"/>
      <c r="D48" s="2269" t="s"/>
      <c r="E48" s="2271" t="s"/>
      <c r="F48" s="2272" t="s"/>
      <c r="G48" s="2273" t="s"/>
      <c r="H48" s="2274" t="s"/>
      <c r="I48" s="2275" t="s"/>
      <c r="J48" s="2276" t="s"/>
      <c r="K48" s="434" t="n">
        <f aca="false" ca="false" dt2D="false" dtr="false" t="normal">SUM(K44:K47)</f>
        <v>10421.063449024286</v>
      </c>
      <c r="L48" s="93" t="n"/>
      <c r="M48" s="93" t="n"/>
      <c r="N48" s="93" t="n"/>
      <c r="O48" s="93" t="n"/>
    </row>
    <row customHeight="true" hidden="false" ht="15.75" outlineLevel="0" r="49">
      <c r="A49" s="67" t="n">
        <v>6</v>
      </c>
      <c r="B49" s="189" t="s">
        <v>208</v>
      </c>
      <c r="C49" s="2279" t="s"/>
      <c r="D49" s="2280" t="s"/>
      <c r="E49" s="2281" t="s"/>
      <c r="F49" s="2283" t="s"/>
      <c r="G49" s="2284" t="s"/>
      <c r="H49" s="2286" t="s"/>
      <c r="I49" s="2287" t="s"/>
      <c r="J49" s="2288" t="s"/>
      <c r="K49" s="434" t="n">
        <f aca="false" ca="false" dt2D="false" dtr="false" t="normal">SUM(K48*0.22)</f>
        <v>2292.633958785343</v>
      </c>
      <c r="L49" s="93" t="n"/>
      <c r="M49" s="93" t="n"/>
      <c r="N49" s="93" t="n"/>
      <c r="O49" s="93" t="n"/>
    </row>
    <row customHeight="true" hidden="false" ht="15.75" outlineLevel="0" r="50">
      <c r="A50" s="67" t="n"/>
      <c r="B50" s="177" t="s">
        <v>211</v>
      </c>
      <c r="C50" s="2292" t="s"/>
      <c r="D50" s="2294" t="s"/>
      <c r="E50" s="2295" t="s"/>
      <c r="F50" s="2296" t="s"/>
      <c r="G50" s="2297" t="s"/>
      <c r="H50" s="2298" t="s"/>
      <c r="I50" s="2299" t="s"/>
      <c r="J50" s="2301" t="s"/>
      <c r="K50" s="512" t="n">
        <f aca="false" ca="false" dt2D="false" dtr="false" t="normal">SUM(K48:K49)-14</f>
        <v>12699.69740780963</v>
      </c>
      <c r="L50" s="93" t="n"/>
      <c r="M50" s="93" t="n"/>
      <c r="N50" s="93" t="n"/>
      <c r="O50" s="93" t="n"/>
    </row>
    <row hidden="false" ht="12.75" outlineLevel="0" r="51">
      <c r="A51" s="93" t="n"/>
      <c r="B51" s="93" t="n"/>
      <c r="C51" s="93" t="n"/>
      <c r="D51" s="93" t="n"/>
      <c r="E51" s="93" t="n"/>
      <c r="F51" s="93" t="n"/>
      <c r="G51" s="93" t="n"/>
      <c r="H51" s="93" t="n"/>
      <c r="I51" s="93" t="n"/>
      <c r="J51" s="93" t="n"/>
      <c r="K51" s="93" t="n"/>
      <c r="L51" s="93" t="n"/>
      <c r="M51" s="93" t="n"/>
      <c r="N51" s="93" t="n"/>
      <c r="O51" s="93" t="n"/>
    </row>
    <row hidden="false" ht="12.75" outlineLevel="0" r="52">
      <c r="A52" s="93" t="n"/>
      <c r="B52" s="93" t="n"/>
      <c r="C52" s="93" t="n"/>
      <c r="D52" s="93" t="n"/>
      <c r="E52" s="93" t="n"/>
      <c r="F52" s="93" t="n"/>
      <c r="G52" s="93" t="n"/>
      <c r="H52" s="93" t="n"/>
      <c r="I52" s="93" t="n"/>
      <c r="J52" s="93" t="n"/>
      <c r="K52" s="93" t="n"/>
      <c r="L52" s="93" t="n"/>
      <c r="M52" s="93" t="n"/>
      <c r="N52" s="93" t="n"/>
      <c r="O52" s="93" t="n"/>
    </row>
    <row hidden="false" ht="12.75" outlineLevel="0" r="53">
      <c r="A53" s="93" t="n"/>
      <c r="B53" s="93" t="n"/>
      <c r="C53" s="93" t="n"/>
      <c r="D53" s="93" t="n"/>
      <c r="E53" s="93" t="n"/>
      <c r="F53" s="93" t="n"/>
      <c r="G53" s="93" t="n"/>
      <c r="H53" s="93" t="n"/>
      <c r="I53" s="93" t="n"/>
      <c r="J53" s="93" t="n"/>
      <c r="K53" s="93" t="n"/>
      <c r="L53" s="93" t="n"/>
      <c r="M53" s="93" t="n"/>
      <c r="N53" s="93" t="n"/>
      <c r="O53" s="93" t="n"/>
    </row>
    <row hidden="false" ht="12.75" outlineLevel="0" r="54">
      <c r="A54" s="93" t="n"/>
      <c r="B54" s="93" t="n"/>
      <c r="C54" s="93" t="n"/>
      <c r="D54" s="93" t="n"/>
      <c r="E54" s="93" t="n"/>
      <c r="F54" s="93" t="n"/>
      <c r="G54" s="93" t="n"/>
      <c r="H54" s="93" t="n"/>
      <c r="I54" s="93" t="n"/>
      <c r="J54" s="93" t="n"/>
      <c r="K54" s="93" t="n"/>
      <c r="L54" s="93" t="n"/>
      <c r="M54" s="93" t="n"/>
      <c r="N54" s="93" t="n"/>
      <c r="O54" s="93" t="n"/>
    </row>
    <row hidden="false" ht="12.75" outlineLevel="0" r="55">
      <c r="A55" s="93" t="n"/>
      <c r="B55" s="93" t="n"/>
      <c r="C55" s="93" t="n"/>
      <c r="D55" s="93" t="n"/>
      <c r="E55" s="93" t="n"/>
      <c r="F55" s="93" t="n"/>
      <c r="G55" s="93" t="n"/>
      <c r="H55" s="93" t="n"/>
      <c r="I55" s="93" t="n"/>
      <c r="J55" s="93" t="n"/>
      <c r="K55" s="93" t="n"/>
      <c r="L55" s="93" t="n"/>
      <c r="M55" s="93" t="n"/>
      <c r="N55" s="93" t="n"/>
      <c r="O55" s="93" t="n"/>
    </row>
    <row hidden="false" ht="12.75" outlineLevel="0" r="56">
      <c r="A56" s="93" t="n"/>
      <c r="B56" s="93" t="n"/>
      <c r="C56" s="93" t="n"/>
      <c r="D56" s="93" t="n"/>
      <c r="E56" s="93" t="n"/>
      <c r="F56" s="93" t="n"/>
      <c r="G56" s="93" t="n"/>
      <c r="H56" s="93" t="n"/>
      <c r="I56" s="93" t="n"/>
      <c r="J56" s="93" t="n"/>
      <c r="K56" s="93" t="n"/>
      <c r="L56" s="93" t="n"/>
      <c r="M56" s="93" t="n"/>
      <c r="N56" s="93" t="n"/>
      <c r="O56" s="93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93">
    <mergeCell ref="B1:N1"/>
    <mergeCell ref="I4:O4"/>
    <mergeCell ref="A7:N7"/>
    <mergeCell ref="B9:C9"/>
    <mergeCell ref="B11:C11"/>
    <mergeCell ref="D11:F11"/>
    <mergeCell ref="G11:H11"/>
    <mergeCell ref="B12:C12"/>
    <mergeCell ref="D12:F12"/>
    <mergeCell ref="G12:H12"/>
    <mergeCell ref="I11:K11"/>
    <mergeCell ref="L11:N11"/>
    <mergeCell ref="I12:K12"/>
    <mergeCell ref="L12:N12"/>
    <mergeCell ref="D9:F9"/>
    <mergeCell ref="G9:H9"/>
    <mergeCell ref="B10:C10"/>
    <mergeCell ref="D10:F10"/>
    <mergeCell ref="G10:H10"/>
    <mergeCell ref="I9:K9"/>
    <mergeCell ref="L9:N9"/>
    <mergeCell ref="L10:N10"/>
    <mergeCell ref="I10:K10"/>
    <mergeCell ref="B13:C13"/>
    <mergeCell ref="D13:F13"/>
    <mergeCell ref="G13:H13"/>
    <mergeCell ref="I13:K13"/>
    <mergeCell ref="L13:N13"/>
    <mergeCell ref="B14:F14"/>
    <mergeCell ref="I14:K14"/>
    <mergeCell ref="L14:N14"/>
    <mergeCell ref="B15:C15"/>
    <mergeCell ref="D15:F15"/>
    <mergeCell ref="G15:H15"/>
    <mergeCell ref="I15:K15"/>
    <mergeCell ref="L15:N15"/>
    <mergeCell ref="B16:C16"/>
    <mergeCell ref="D16:F16"/>
    <mergeCell ref="B17:C17"/>
    <mergeCell ref="D17:F17"/>
    <mergeCell ref="B18:C18"/>
    <mergeCell ref="D18:F18"/>
    <mergeCell ref="G16:H16"/>
    <mergeCell ref="G17:H17"/>
    <mergeCell ref="G18:H18"/>
    <mergeCell ref="I16:K16"/>
    <mergeCell ref="I17:K17"/>
    <mergeCell ref="I18:K18"/>
    <mergeCell ref="L16:N16"/>
    <mergeCell ref="L17:N17"/>
    <mergeCell ref="L18:N18"/>
    <mergeCell ref="M23:N23"/>
    <mergeCell ref="M22:N22"/>
    <mergeCell ref="B22:C22"/>
    <mergeCell ref="D22:F22"/>
    <mergeCell ref="B23:C23"/>
    <mergeCell ref="D23:F23"/>
    <mergeCell ref="H22:I22"/>
    <mergeCell ref="J22:L22"/>
    <mergeCell ref="H23:I23"/>
    <mergeCell ref="J23:L23"/>
    <mergeCell ref="M24:N24"/>
    <mergeCell ref="M25:N25"/>
    <mergeCell ref="J24:L24"/>
    <mergeCell ref="J25:L25"/>
    <mergeCell ref="H24:I24"/>
    <mergeCell ref="D24:F24"/>
    <mergeCell ref="B24:C24"/>
    <mergeCell ref="D25:F25"/>
    <mergeCell ref="H25:I25"/>
    <mergeCell ref="B25:C25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A42:K42"/>
    <mergeCell ref="B43:J43"/>
    <mergeCell ref="B44:J44"/>
    <mergeCell ref="B45:J45"/>
    <mergeCell ref="B46:J46"/>
    <mergeCell ref="B47:J47"/>
    <mergeCell ref="B48:J48"/>
    <mergeCell ref="B49:J49"/>
    <mergeCell ref="B50:J50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1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O59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" min="1" outlineLevel="0" style="398" width="4.49854491708912"/>
    <col customWidth="true" hidden="false" max="3" min="3" outlineLevel="0" style="398" width="17.8955273645753"/>
    <col customWidth="true" hidden="false" max="10" min="10" outlineLevel="0" style="398" width="14.5018886558343"/>
    <col customWidth="true" hidden="false" max="11" min="11" outlineLevel="0" style="398" width="13.6633440736942"/>
  </cols>
  <sheetData>
    <row hidden="false" ht="15" outlineLevel="0" r="1">
      <c r="A1" s="93" t="n"/>
      <c r="B1" s="1524" t="n"/>
      <c r="C1" s="1524" t="s"/>
      <c r="D1" s="1524" t="s"/>
      <c r="E1" s="1524" t="s"/>
      <c r="F1" s="1524" t="s"/>
      <c r="G1" s="1524" t="s"/>
      <c r="H1" s="1524" t="s"/>
      <c r="I1" s="1524" t="s"/>
      <c r="J1" s="1524" t="s"/>
      <c r="K1" s="1524" t="s"/>
      <c r="L1" s="1524" t="s"/>
      <c r="M1" s="1524" t="s"/>
      <c r="N1" s="1524" t="s"/>
    </row>
    <row hidden="false" ht="15.75" outlineLevel="0" r="2">
      <c r="A2" s="93" t="n"/>
      <c r="B2" s="1524" t="n"/>
      <c r="C2" s="1524" t="n"/>
      <c r="D2" s="1524" t="n"/>
      <c r="E2" s="1524" t="n"/>
      <c r="F2" s="1524" t="n"/>
      <c r="G2" s="1524" t="n"/>
      <c r="H2" s="1524" t="n"/>
      <c r="I2" s="101" t="s">
        <v>175</v>
      </c>
      <c r="J2" s="101" t="n"/>
      <c r="K2" s="4" t="n"/>
      <c r="L2" s="104" t="n"/>
      <c r="M2" s="104" t="n"/>
      <c r="N2" s="104" t="n"/>
      <c r="O2" s="104" t="n"/>
    </row>
    <row hidden="false" ht="15.75" outlineLevel="0" r="3">
      <c r="A3" s="93" t="n"/>
      <c r="B3" s="1524" t="n"/>
      <c r="C3" s="1524" t="n"/>
      <c r="D3" s="1524" t="n"/>
      <c r="E3" s="1524" t="n"/>
      <c r="F3" s="1524" t="n"/>
      <c r="G3" s="1524" t="n"/>
      <c r="H3" s="1524" t="n"/>
      <c r="I3" s="105" t="s">
        <v>176</v>
      </c>
      <c r="J3" s="4" t="n"/>
      <c r="K3" s="4" t="n"/>
      <c r="L3" s="4" t="n"/>
      <c r="M3" s="4" t="n"/>
      <c r="N3" s="4" t="n"/>
      <c r="O3" s="4" t="n"/>
    </row>
    <row hidden="false" ht="15.75" outlineLevel="0" r="4">
      <c r="A4" s="93" t="n"/>
      <c r="B4" s="1524" t="n"/>
      <c r="C4" s="1524" t="n"/>
      <c r="D4" s="1524" t="n"/>
      <c r="E4" s="1524" t="n"/>
      <c r="F4" s="1524" t="n"/>
      <c r="G4" s="1524" t="n"/>
      <c r="H4" s="1524" t="n"/>
      <c r="I4" s="101" t="s">
        <v>226</v>
      </c>
      <c r="J4" s="101" t="s"/>
      <c r="K4" s="101" t="s"/>
      <c r="L4" s="101" t="s"/>
      <c r="M4" s="101" t="s"/>
      <c r="N4" s="101" t="s"/>
      <c r="O4" s="101" t="s"/>
    </row>
    <row hidden="false" ht="15.75" outlineLevel="0" r="5">
      <c r="A5" s="93" t="n"/>
      <c r="B5" s="1524" t="n"/>
      <c r="C5" s="1524" t="n"/>
      <c r="D5" s="1524" t="n"/>
      <c r="E5" s="1524" t="n"/>
      <c r="F5" s="1524" t="n"/>
      <c r="G5" s="1524" t="n"/>
      <c r="H5" s="1524" t="n"/>
      <c r="I5" s="105" t="s">
        <v>178</v>
      </c>
      <c r="J5" s="105" t="n"/>
      <c r="K5" s="4" t="n"/>
      <c r="L5" s="4" t="n"/>
      <c r="M5" s="4" t="n"/>
      <c r="N5" s="4" t="n"/>
      <c r="O5" s="4" t="n"/>
    </row>
    <row hidden="false" ht="15" outlineLevel="0" r="6">
      <c r="A6" s="93" t="n"/>
      <c r="B6" s="1524" t="n"/>
      <c r="C6" s="1524" t="n"/>
      <c r="D6" s="1524" t="n"/>
      <c r="E6" s="1524" t="n"/>
      <c r="F6" s="1524" t="n"/>
      <c r="G6" s="1524" t="n"/>
      <c r="H6" s="1524" t="n"/>
      <c r="I6" s="1524" t="n"/>
      <c r="J6" s="1524" t="n"/>
      <c r="K6" s="1524" t="n"/>
      <c r="L6" s="1524" t="n"/>
      <c r="M6" s="1524" t="n"/>
      <c r="N6" s="1524" t="n"/>
    </row>
    <row customHeight="true" hidden="false" ht="15.75" outlineLevel="0" r="7">
      <c r="A7" s="4" t="n"/>
      <c r="B7" s="403" t="s">
        <v>278</v>
      </c>
      <c r="C7" s="403" t="s"/>
      <c r="D7" s="403" t="s"/>
      <c r="E7" s="403" t="s"/>
      <c r="F7" s="403" t="s"/>
      <c r="G7" s="403" t="s"/>
      <c r="H7" s="403" t="s"/>
      <c r="I7" s="403" t="s"/>
      <c r="J7" s="403" t="s"/>
      <c r="K7" s="403" t="s"/>
      <c r="L7" s="403" t="s"/>
      <c r="M7" s="403" t="s"/>
      <c r="N7" s="403" t="s"/>
    </row>
    <row hidden="false" ht="15.75" outlineLevel="0" r="8">
      <c r="A8" s="4" t="n"/>
      <c r="B8" s="403" t="n"/>
      <c r="C8" s="403" t="n"/>
      <c r="D8" s="403" t="n"/>
      <c r="E8" s="403" t="n"/>
      <c r="F8" s="403" t="n"/>
      <c r="G8" s="403" t="n"/>
      <c r="H8" s="403" t="n"/>
      <c r="I8" s="403" t="n"/>
      <c r="J8" s="403" t="n"/>
      <c r="K8" s="403" t="n"/>
      <c r="L8" s="403" t="n"/>
      <c r="M8" s="403" t="n"/>
      <c r="N8" s="403" t="n"/>
    </row>
    <row hidden="false" ht="15.75" outlineLevel="0" r="9">
      <c r="A9" s="4" t="n"/>
      <c r="B9" s="101" t="s">
        <v>232</v>
      </c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</row>
    <row customHeight="true" hidden="false" ht="87" outlineLevel="0" r="10">
      <c r="A10" s="124" t="n"/>
      <c r="B10" s="129" t="s">
        <v>184</v>
      </c>
      <c r="C10" s="2336" t="s"/>
      <c r="D10" s="129" t="s">
        <v>233</v>
      </c>
      <c r="E10" s="2340" t="s"/>
      <c r="F10" s="2342" t="s"/>
      <c r="G10" s="129" t="s">
        <v>186</v>
      </c>
      <c r="H10" s="2343" t="s"/>
      <c r="I10" s="129" t="s">
        <v>187</v>
      </c>
      <c r="J10" s="2344" t="s"/>
      <c r="K10" s="2345" t="s"/>
      <c r="L10" s="129" t="s">
        <v>279</v>
      </c>
      <c r="M10" s="2346" t="s"/>
      <c r="N10" s="2347" t="s"/>
    </row>
    <row customHeight="true" hidden="false" ht="15.75" outlineLevel="0" r="11">
      <c r="A11" s="17" t="n">
        <v>1</v>
      </c>
      <c r="B11" s="144" t="s">
        <v>189</v>
      </c>
      <c r="C11" s="2348" t="s"/>
      <c r="D11" s="153" t="n">
        <f aca="false" ca="false" dt2D="false" dtr="false" t="normal">68227*1.302</f>
        <v>88831.554</v>
      </c>
      <c r="E11" s="2360" t="s"/>
      <c r="F11" s="2362" t="s"/>
      <c r="G11" s="159" t="n">
        <v>9600</v>
      </c>
      <c r="H11" s="2367" t="s"/>
      <c r="I11" s="159" t="n">
        <f aca="false" ca="false" dt2D="false" dtr="false" t="normal">SUM(60*10)</f>
        <v>600</v>
      </c>
      <c r="J11" s="2368" t="s"/>
      <c r="K11" s="2369" t="s"/>
      <c r="L11" s="164" t="n">
        <f aca="false" ca="false" dt2D="false" dtr="false" t="normal">D11/G11*I11</f>
        <v>5551.972125</v>
      </c>
      <c r="M11" s="2378" t="s"/>
      <c r="N11" s="2379" t="s"/>
    </row>
    <row customHeight="true" hidden="false" ht="15.75" outlineLevel="0" r="12">
      <c r="A12" s="17" t="n">
        <v>2</v>
      </c>
      <c r="B12" s="144" t="s">
        <v>237</v>
      </c>
      <c r="C12" s="2380" t="s"/>
      <c r="D12" s="153" t="n">
        <f aca="false" ca="false" dt2D="false" dtr="false" t="normal">98188.2*1.302</f>
        <v>127841.0364</v>
      </c>
      <c r="E12" s="2388" t="s"/>
      <c r="F12" s="2390" t="s"/>
      <c r="G12" s="159" t="n">
        <v>9600</v>
      </c>
      <c r="H12" s="2391" t="s"/>
      <c r="I12" s="159" t="n">
        <v>30</v>
      </c>
      <c r="J12" s="2392" t="s"/>
      <c r="K12" s="2393" t="s"/>
      <c r="L12" s="164" t="n">
        <f aca="false" ca="false" dt2D="false" dtr="false" t="normal">D12/G12*I12</f>
        <v>399.50323875</v>
      </c>
      <c r="M12" s="2394" t="s"/>
      <c r="N12" s="2396" t="s"/>
    </row>
    <row customHeight="true" hidden="false" ht="15.75" outlineLevel="0" r="13">
      <c r="A13" s="17" t="n"/>
      <c r="B13" s="144" t="s">
        <v>183</v>
      </c>
      <c r="C13" s="2404" t="s"/>
      <c r="D13" s="153" t="n">
        <f aca="false" ca="false" dt2D="false" dtr="false" t="normal">SUM(D11:F12)</f>
        <v>216672.5904</v>
      </c>
      <c r="E13" s="2405" t="s"/>
      <c r="F13" s="2406" t="s"/>
      <c r="G13" s="159" t="n">
        <f aca="false" ca="false" dt2D="false" dtr="false" t="normal">SUM(G11:H12)</f>
        <v>19200</v>
      </c>
      <c r="H13" s="2409" t="s"/>
      <c r="I13" s="159" t="n">
        <f aca="false" ca="false" dt2D="false" dtr="false" t="normal">SUM(I11:K12)</f>
        <v>630</v>
      </c>
      <c r="J13" s="2416" t="s"/>
      <c r="K13" s="2417" t="s"/>
      <c r="L13" s="2418" t="n">
        <f aca="false" ca="false" dt2D="false" dtr="false" t="normal">SUM(L11:N12)</f>
        <v>5951.47536375</v>
      </c>
      <c r="M13" s="2419" t="s"/>
      <c r="N13" s="2420" t="s"/>
    </row>
    <row hidden="false" ht="15.75" outlineLevel="0" r="14">
      <c r="A14" s="1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M14" s="3" t="n"/>
      <c r="N14" s="3" t="n"/>
    </row>
    <row customHeight="true" hidden="false" ht="15.75" outlineLevel="0" r="15">
      <c r="A15" s="1" t="n"/>
      <c r="B15" s="2429" t="s">
        <v>198</v>
      </c>
      <c r="C15" s="2430" t="s"/>
      <c r="D15" s="2431" t="s"/>
      <c r="E15" s="2432" t="s"/>
      <c r="F15" s="2433" t="s"/>
      <c r="G15" s="265" t="n"/>
      <c r="H15" s="265" t="n"/>
      <c r="I15" s="265" t="n"/>
      <c r="J15" s="265" t="s"/>
      <c r="K15" s="265" t="s"/>
      <c r="L15" s="2434" t="n"/>
      <c r="M15" s="2435" t="s"/>
      <c r="N15" s="2436" t="s"/>
    </row>
    <row customHeight="true" hidden="false" ht="61.5" outlineLevel="0" r="16">
      <c r="A16" s="20" t="n"/>
      <c r="B16" s="129" t="s">
        <v>200</v>
      </c>
      <c r="C16" s="2441" t="s"/>
      <c r="D16" s="129" t="s">
        <v>201</v>
      </c>
      <c r="E16" s="2446" t="s"/>
      <c r="F16" s="2447" t="s"/>
      <c r="G16" s="129" t="s">
        <v>202</v>
      </c>
      <c r="H16" s="2448" t="s"/>
      <c r="I16" s="129" t="s">
        <v>203</v>
      </c>
      <c r="J16" s="2449" t="s"/>
      <c r="K16" s="2450" t="s"/>
      <c r="L16" s="129" t="s">
        <v>204</v>
      </c>
      <c r="M16" s="2451" t="s"/>
      <c r="N16" s="2452" t="s"/>
    </row>
    <row customHeight="true" hidden="false" ht="15.75" outlineLevel="0" r="17">
      <c r="A17" s="17" t="n">
        <v>1</v>
      </c>
      <c r="B17" s="144" t="s">
        <v>205</v>
      </c>
      <c r="C17" s="2461" t="s"/>
      <c r="D17" s="159" t="s">
        <v>207</v>
      </c>
      <c r="E17" s="2462" t="s"/>
      <c r="F17" s="2463" t="s"/>
      <c r="G17" s="159" t="n">
        <v>5</v>
      </c>
      <c r="H17" s="2464" t="s"/>
      <c r="I17" s="159" t="n">
        <f aca="false" ca="false" dt2D="false" dtr="false" t="normal">587/500</f>
        <v>1.174</v>
      </c>
      <c r="J17" s="2466" t="s"/>
      <c r="K17" s="2467" t="s"/>
      <c r="L17" s="159" t="n">
        <f aca="false" ca="false" dt2D="false" dtr="false" t="normal">G17*I17</f>
        <v>5.869999999999999</v>
      </c>
      <c r="M17" s="2468" t="s"/>
      <c r="N17" s="2469" t="s"/>
    </row>
    <row customHeight="true" hidden="false" ht="15.75" outlineLevel="0" r="18">
      <c r="A18" s="17" t="n">
        <v>2</v>
      </c>
      <c r="B18" s="144" t="s">
        <v>209</v>
      </c>
      <c r="C18" s="2470" t="s"/>
      <c r="D18" s="159" t="s">
        <v>210</v>
      </c>
      <c r="E18" s="2473" t="s"/>
      <c r="F18" s="2475" t="s"/>
      <c r="G18" s="159" t="n">
        <v>0.078</v>
      </c>
      <c r="H18" s="2481" t="s"/>
      <c r="I18" s="159" t="n">
        <v>1250</v>
      </c>
      <c r="J18" s="2482" t="s"/>
      <c r="K18" s="2483" t="s"/>
      <c r="L18" s="159" t="n">
        <f aca="false" ca="false" dt2D="false" dtr="false" t="normal">G18*I18</f>
        <v>97.5</v>
      </c>
      <c r="M18" s="2485" t="s"/>
      <c r="N18" s="2487" t="s"/>
    </row>
    <row customHeight="true" hidden="false" ht="15.75" outlineLevel="0" r="19">
      <c r="A19" s="17" t="n"/>
      <c r="B19" s="159" t="n"/>
      <c r="C19" s="2494" t="s"/>
      <c r="D19" s="159" t="n"/>
      <c r="E19" s="2495" t="s"/>
      <c r="F19" s="2496" t="s"/>
      <c r="G19" s="159" t="n"/>
      <c r="H19" s="2497" t="s"/>
      <c r="I19" s="159" t="n"/>
      <c r="J19" s="2498" t="s"/>
      <c r="K19" s="2499" t="s"/>
      <c r="L19" s="2418" t="n">
        <f aca="false" ca="false" dt2D="false" dtr="false" t="normal">SUM(L17:N18)</f>
        <v>103.37</v>
      </c>
      <c r="M19" s="2504" t="s"/>
      <c r="N19" s="2506" t="s"/>
    </row>
    <row hidden="false" ht="15.75" outlineLevel="0" r="20">
      <c r="A20" s="1" t="n"/>
      <c r="B20" s="265" t="n"/>
      <c r="C20" s="265" t="n"/>
      <c r="D20" s="265" t="n"/>
      <c r="E20" s="265" t="n"/>
      <c r="F20" s="265" t="n"/>
      <c r="G20" s="265" t="n"/>
      <c r="H20" s="265" t="n"/>
      <c r="I20" s="265" t="n"/>
      <c r="J20" s="265" t="n"/>
      <c r="K20" s="265" t="n"/>
      <c r="L20" s="2510" t="n"/>
      <c r="M20" s="2510" t="n"/>
      <c r="N20" s="2510" t="n"/>
    </row>
    <row hidden="false" ht="15.75" outlineLevel="0" r="21">
      <c r="A21" s="1" t="n"/>
      <c r="B21" s="5" t="s">
        <v>212</v>
      </c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  <c r="M21" s="3" t="n"/>
      <c r="N21" s="3" t="n"/>
    </row>
    <row customHeight="true" hidden="false" ht="95.25" outlineLevel="0" r="22">
      <c r="A22" s="17" t="n"/>
      <c r="B22" s="129" t="s">
        <v>213</v>
      </c>
      <c r="C22" s="2520" t="s"/>
      <c r="D22" s="129" t="s">
        <v>214</v>
      </c>
      <c r="E22" s="2524" t="s"/>
      <c r="F22" s="2526" t="s"/>
      <c r="G22" s="259" t="s">
        <v>215</v>
      </c>
      <c r="H22" s="169" t="s">
        <v>216</v>
      </c>
      <c r="I22" s="2531" t="s"/>
      <c r="J22" s="129" t="s">
        <v>217</v>
      </c>
      <c r="K22" s="2532" t="s"/>
      <c r="L22" s="2533" t="s"/>
      <c r="M22" s="129" t="s">
        <v>218</v>
      </c>
      <c r="N22" s="2534" t="s"/>
    </row>
    <row customHeight="true" hidden="false" ht="15.75" outlineLevel="0" r="23">
      <c r="A23" s="17" t="n">
        <v>1</v>
      </c>
      <c r="B23" s="144" t="s">
        <v>173</v>
      </c>
      <c r="C23" s="2539" t="s"/>
      <c r="D23" s="159" t="n">
        <v>70000</v>
      </c>
      <c r="E23" s="2543" t="s"/>
      <c r="F23" s="2545" t="s"/>
      <c r="G23" s="2546" t="n">
        <v>0.3</v>
      </c>
      <c r="H23" s="44" t="s">
        <v>174</v>
      </c>
      <c r="I23" s="2547" t="s"/>
      <c r="J23" s="159" t="n">
        <v>9</v>
      </c>
      <c r="K23" s="2548" t="s"/>
      <c r="L23" s="2549" t="s"/>
      <c r="M23" s="164" t="n">
        <f aca="false" ca="false" dt2D="false" dtr="false" t="normal">D23*G23/H23*J23</f>
        <v>118.125</v>
      </c>
      <c r="N23" s="2558" t="s"/>
    </row>
    <row customHeight="true" hidden="false" ht="15.75" outlineLevel="0" r="24">
      <c r="A24" s="17" t="n">
        <v>2</v>
      </c>
      <c r="B24" s="144" t="s">
        <v>179</v>
      </c>
      <c r="C24" s="2559" t="s"/>
      <c r="D24" s="159" t="n">
        <v>17856</v>
      </c>
      <c r="E24" s="2560" t="s"/>
      <c r="F24" s="2561" t="s"/>
      <c r="G24" s="2546" t="n">
        <v>0.3</v>
      </c>
      <c r="H24" s="44" t="s">
        <v>174</v>
      </c>
      <c r="I24" s="2565" t="s"/>
      <c r="J24" s="159" t="n">
        <v>0.5</v>
      </c>
      <c r="K24" s="2569" t="s"/>
      <c r="L24" s="2571" t="s"/>
      <c r="M24" s="164" t="n">
        <f aca="false" ca="false" dt2D="false" dtr="false" t="normal">D24*G24/H24*J24</f>
        <v>1.6740000000000002</v>
      </c>
      <c r="N24" s="2573" t="s"/>
    </row>
    <row customHeight="true" hidden="false" ht="15.75" outlineLevel="0" r="25">
      <c r="A25" s="17" t="n">
        <v>3</v>
      </c>
      <c r="B25" s="144" t="s">
        <v>256</v>
      </c>
      <c r="C25" s="2574" t="s"/>
      <c r="D25" s="159" t="n">
        <v>500000</v>
      </c>
      <c r="E25" s="2575" t="s"/>
      <c r="F25" s="2576" t="s"/>
      <c r="G25" s="2546" t="n">
        <v>0.3</v>
      </c>
      <c r="H25" s="44" t="s">
        <v>174</v>
      </c>
      <c r="I25" s="2577" t="s"/>
      <c r="J25" s="159" t="n">
        <v>1</v>
      </c>
      <c r="K25" s="2578" t="s"/>
      <c r="L25" s="2579" t="s"/>
      <c r="M25" s="164" t="n">
        <f aca="false" ca="false" dt2D="false" dtr="false" t="normal">D25*G25/H25*J25</f>
        <v>93.75</v>
      </c>
      <c r="N25" s="2580" t="s"/>
    </row>
    <row customHeight="true" hidden="false" ht="15.75" outlineLevel="0" r="26">
      <c r="A26" s="17" t="n"/>
      <c r="B26" s="159" t="n"/>
      <c r="C26" s="2581" t="s"/>
      <c r="D26" s="159" t="n"/>
      <c r="E26" s="2582" t="s"/>
      <c r="F26" s="2583" t="s"/>
      <c r="G26" s="2546" t="n"/>
      <c r="H26" s="44" t="n"/>
      <c r="I26" s="2584" t="s"/>
      <c r="J26" s="159" t="n"/>
      <c r="K26" s="2585" t="s"/>
      <c r="L26" s="2586" t="s"/>
      <c r="M26" s="2418" t="n">
        <f aca="false" ca="false" dt2D="false" dtr="false" t="normal">SUM(M23:N25)</f>
        <v>213.549</v>
      </c>
      <c r="N26" s="2587" t="s"/>
    </row>
    <row hidden="false" ht="15.75" outlineLevel="0" r="27">
      <c r="A27" s="1" t="n"/>
      <c r="B27" s="3" t="n"/>
      <c r="C27" s="3" t="n"/>
      <c r="D27" s="3" t="n"/>
      <c r="E27" s="3" t="n"/>
      <c r="F27" s="3" t="n"/>
      <c r="G27" s="3" t="n"/>
      <c r="H27" s="3" t="n"/>
      <c r="I27" s="2588" t="n"/>
      <c r="J27" s="265" t="n"/>
      <c r="K27" s="265" t="n"/>
      <c r="L27" s="3" t="n"/>
      <c r="M27" s="3" t="n"/>
      <c r="N27" s="3" t="n"/>
    </row>
    <row hidden="false" ht="15.75" outlineLevel="0" r="28">
      <c r="A28" s="1" t="n"/>
      <c r="B28" s="264" t="s">
        <v>219</v>
      </c>
      <c r="C28" s="265" t="n"/>
      <c r="D28" s="265" t="n"/>
      <c r="E28" s="265" t="n"/>
      <c r="F28" s="265" t="n"/>
      <c r="G28" s="265" t="n"/>
      <c r="H28" s="265" t="n"/>
      <c r="I28" s="265" t="n"/>
      <c r="J28" s="3" t="n"/>
      <c r="K28" s="3" t="n"/>
      <c r="L28" s="3" t="n"/>
      <c r="M28" s="3" t="n"/>
      <c r="N28" s="3" t="n"/>
    </row>
    <row customHeight="true" hidden="false" ht="15.75" outlineLevel="0" r="29">
      <c r="A29" s="20" t="n"/>
      <c r="B29" s="266" t="s">
        <v>220</v>
      </c>
      <c r="C29" s="2590" t="s"/>
      <c r="D29" s="2591" t="s"/>
      <c r="E29" s="2592" t="s"/>
      <c r="F29" s="2593" t="s"/>
      <c r="G29" s="2594" t="s"/>
      <c r="H29" s="2595" t="s"/>
      <c r="I29" s="2596" t="s"/>
      <c r="J29" s="2597" t="s"/>
      <c r="K29" s="20" t="s">
        <v>261</v>
      </c>
      <c r="L29" s="3" t="n"/>
      <c r="M29" s="3" t="n"/>
      <c r="N29" s="3" t="n"/>
    </row>
    <row customHeight="true" hidden="false" ht="15.75" outlineLevel="0" r="30">
      <c r="A30" s="17" t="n">
        <v>1</v>
      </c>
      <c r="B30" s="276" t="s">
        <v>222</v>
      </c>
      <c r="C30" s="2316" t="s"/>
      <c r="D30" s="2317" t="s"/>
      <c r="E30" s="2318" t="s"/>
      <c r="F30" s="2319" t="s"/>
      <c r="G30" s="2320" t="s"/>
      <c r="H30" s="2321" t="s"/>
      <c r="I30" s="2322" t="s"/>
      <c r="J30" s="2323" t="s"/>
      <c r="K30" s="285" t="n">
        <f aca="false" ca="false" dt2D="false" dtr="false" t="normal">SUM(K31:K32)</f>
        <v>102005.23762063854</v>
      </c>
      <c r="L30" s="3" t="n"/>
      <c r="M30" s="3" t="n"/>
      <c r="N30" s="3" t="n"/>
    </row>
    <row customHeight="true" hidden="false" ht="15.75" outlineLevel="0" r="31">
      <c r="A31" s="17" t="n"/>
      <c r="B31" s="144" t="s">
        <v>223</v>
      </c>
      <c r="C31" s="2324" t="s"/>
      <c r="D31" s="2325" t="s"/>
      <c r="E31" s="2326" t="s"/>
      <c r="F31" s="2327" t="s"/>
      <c r="G31" s="2328" t="s"/>
      <c r="H31" s="2329" t="s"/>
      <c r="I31" s="2330" t="s"/>
      <c r="J31" s="2331" t="s"/>
      <c r="K31" s="285" t="n">
        <f aca="false" ca="false" dt2D="false" dtr="false" t="normal">(15990207-D13)*1.302/218</f>
        <v>94207.07248302386</v>
      </c>
      <c r="L31" s="3" t="n"/>
      <c r="M31" s="3" t="n"/>
      <c r="N31" s="3" t="n"/>
    </row>
    <row customHeight="true" hidden="false" ht="37.5" outlineLevel="0" r="32">
      <c r="A32" s="17" t="n"/>
      <c r="B32" s="144" t="s">
        <v>224</v>
      </c>
      <c r="C32" s="2332" t="s"/>
      <c r="D32" s="2333" t="s"/>
      <c r="E32" s="2334" t="s"/>
      <c r="F32" s="2335" t="s"/>
      <c r="G32" s="2337" t="s"/>
      <c r="H32" s="2338" t="s"/>
      <c r="I32" s="2339" t="s"/>
      <c r="J32" s="2341" t="s"/>
      <c r="K32" s="285" t="n">
        <f aca="false" ca="false" dt2D="false" dtr="false" t="normal">(200000+1500000)/218</f>
        <v>7798.165137614679</v>
      </c>
      <c r="L32" s="3" t="n"/>
      <c r="M32" s="3" t="n"/>
      <c r="N32" s="3" t="n"/>
    </row>
    <row customHeight="true" hidden="false" ht="15.75" outlineLevel="0" r="33">
      <c r="A33" s="17" t="n">
        <v>2</v>
      </c>
      <c r="B33" s="144" t="s">
        <v>225</v>
      </c>
      <c r="C33" s="2349" t="s"/>
      <c r="D33" s="2350" t="s"/>
      <c r="E33" s="2351" t="s"/>
      <c r="F33" s="2352" t="s"/>
      <c r="G33" s="2353" t="s"/>
      <c r="H33" s="2354" t="s"/>
      <c r="I33" s="2355" t="s"/>
      <c r="J33" s="2356" t="s"/>
      <c r="K33" s="285" t="n">
        <f aca="false" ca="false" dt2D="false" dtr="false" t="normal">SUM(K34:K35)</f>
        <v>68104.96788990825</v>
      </c>
      <c r="L33" s="3" t="n"/>
      <c r="M33" s="3" t="n"/>
      <c r="N33" s="3" t="n"/>
    </row>
    <row customHeight="true" hidden="false" ht="15.75" outlineLevel="0" r="34">
      <c r="A34" s="17" t="n"/>
      <c r="B34" s="310" t="s">
        <v>227</v>
      </c>
      <c r="C34" s="2357" t="s"/>
      <c r="D34" s="2358" t="s"/>
      <c r="E34" s="2359" t="s"/>
      <c r="F34" s="2361" t="s"/>
      <c r="G34" s="2363" t="s"/>
      <c r="H34" s="2364" t="s"/>
      <c r="I34" s="2365" t="s"/>
      <c r="J34" s="2366" t="s"/>
      <c r="K34" s="285" t="n">
        <f aca="false" ca="false" dt2D="false" dtr="false" t="normal">2000000/218</f>
        <v>9174.311926605504</v>
      </c>
      <c r="L34" s="3" t="n"/>
      <c r="M34" s="3" t="n"/>
      <c r="N34" s="3" t="n"/>
    </row>
    <row customHeight="true" hidden="false" ht="15.75" outlineLevel="0" r="35">
      <c r="A35" s="17" t="n"/>
      <c r="B35" s="310" t="s">
        <v>228</v>
      </c>
      <c r="C35" s="2370" t="s"/>
      <c r="D35" s="2371" t="s"/>
      <c r="E35" s="2372" t="s"/>
      <c r="F35" s="2373" t="s"/>
      <c r="G35" s="2374" t="s"/>
      <c r="H35" s="2375" t="s"/>
      <c r="I35" s="2376" t="s"/>
      <c r="J35" s="2377" t="s"/>
      <c r="K35" s="285" t="n">
        <f aca="false" ca="false" dt2D="false" dtr="false" t="normal">(8246883+3800000+800000)/218</f>
        <v>58930.65596330275</v>
      </c>
      <c r="L35" s="3" t="n"/>
      <c r="M35" s="3" t="n"/>
      <c r="N35" s="3" t="n"/>
    </row>
    <row customHeight="true" hidden="false" ht="23.25" outlineLevel="0" r="36">
      <c r="A36" s="17" t="n">
        <v>3</v>
      </c>
      <c r="B36" s="144" t="s">
        <v>230</v>
      </c>
      <c r="C36" s="2381" t="s"/>
      <c r="D36" s="2382" t="s"/>
      <c r="E36" s="2383" t="s"/>
      <c r="F36" s="2384" t="s"/>
      <c r="G36" s="2385" t="s"/>
      <c r="H36" s="2386" t="s"/>
      <c r="I36" s="2387" t="s"/>
      <c r="J36" s="2389" t="s"/>
      <c r="K36" s="285" t="n">
        <f aca="false" ca="false" dt2D="false" dtr="false" t="normal">M26</f>
        <v>213.549</v>
      </c>
      <c r="L36" s="3" t="n"/>
      <c r="M36" s="3" t="n"/>
      <c r="N36" s="3" t="n"/>
    </row>
    <row customHeight="true" hidden="false" ht="15.75" outlineLevel="0" r="37">
      <c r="A37" s="17" t="n"/>
      <c r="B37" s="276" t="s">
        <v>183</v>
      </c>
      <c r="C37" s="2395" t="s"/>
      <c r="D37" s="2397" t="s"/>
      <c r="E37" s="2398" t="s"/>
      <c r="F37" s="2399" t="s"/>
      <c r="G37" s="2400" t="s"/>
      <c r="H37" s="2401" t="s"/>
      <c r="I37" s="2402" t="s"/>
      <c r="J37" s="2403" t="s"/>
      <c r="K37" s="285" t="n">
        <f aca="false" ca="false" dt2D="false" dtr="false" t="normal">K33+K36</f>
        <v>68318.51688990825</v>
      </c>
      <c r="L37" s="3" t="n"/>
      <c r="M37" s="3" t="n"/>
      <c r="N37" s="3" t="n"/>
    </row>
    <row customHeight="true" hidden="false" ht="15.75" outlineLevel="0" r="38">
      <c r="A38" s="17" t="n">
        <v>4</v>
      </c>
      <c r="B38" s="144" t="s">
        <v>231</v>
      </c>
      <c r="C38" s="2407" t="s"/>
      <c r="D38" s="2408" t="s"/>
      <c r="E38" s="2410" t="s"/>
      <c r="F38" s="2411" t="s"/>
      <c r="G38" s="2412" t="s"/>
      <c r="H38" s="2413" t="s"/>
      <c r="I38" s="2414" t="s"/>
      <c r="J38" s="2415" t="s"/>
      <c r="K38" s="285" t="n">
        <f aca="false" ca="false" dt2D="false" dtr="false" t="normal">SUM(D13)</f>
        <v>216672.5904</v>
      </c>
      <c r="L38" s="3" t="n"/>
      <c r="M38" s="3" t="n"/>
      <c r="N38" s="3" t="n"/>
    </row>
    <row customHeight="true" hidden="false" ht="15.75" outlineLevel="0" r="39">
      <c r="A39" s="17" t="n">
        <v>5</v>
      </c>
      <c r="B39" s="276" t="s">
        <v>234</v>
      </c>
      <c r="C39" s="2421" t="s"/>
      <c r="D39" s="2422" t="s"/>
      <c r="E39" s="2423" t="s"/>
      <c r="F39" s="2424" t="s"/>
      <c r="G39" s="2425" t="s"/>
      <c r="H39" s="2426" t="s"/>
      <c r="I39" s="2427" t="s"/>
      <c r="J39" s="2428" t="s"/>
      <c r="K39" s="285" t="n">
        <f aca="false" ca="false" dt2D="false" dtr="false" t="normal">(K30+K33+K36)/K38</f>
        <v>0.786088144310785</v>
      </c>
      <c r="L39" s="3" t="n"/>
      <c r="M39" s="3" t="n"/>
      <c r="N39" s="3" t="n"/>
    </row>
    <row customHeight="true" hidden="false" ht="15.75" outlineLevel="0" r="40">
      <c r="A40" s="17" t="n">
        <f aca="false" ca="false" dt2D="false" dtr="false" t="normal">SUM(A39+1)</f>
        <v>6</v>
      </c>
      <c r="B40" s="144" t="s">
        <v>235</v>
      </c>
      <c r="C40" s="2437" t="s"/>
      <c r="D40" s="2438" t="s"/>
      <c r="E40" s="2439" t="s"/>
      <c r="F40" s="2440" t="s"/>
      <c r="G40" s="2442" t="s"/>
      <c r="H40" s="2443" t="s"/>
      <c r="I40" s="2444" t="s"/>
      <c r="J40" s="2445" t="s"/>
      <c r="K40" s="285" t="n">
        <f aca="false" ca="false" dt2D="false" dtr="false" t="normal">L13</f>
        <v>5951.47536375</v>
      </c>
      <c r="L40" s="3" t="n"/>
      <c r="M40" s="3" t="n"/>
      <c r="N40" s="3" t="n"/>
    </row>
    <row customHeight="true" hidden="false" ht="15.75" outlineLevel="0" r="41">
      <c r="A41" s="383" t="n"/>
      <c r="B41" s="276" t="s">
        <v>236</v>
      </c>
      <c r="C41" s="2453" t="s"/>
      <c r="D41" s="2454" t="s"/>
      <c r="E41" s="2455" t="s"/>
      <c r="F41" s="2456" t="s"/>
      <c r="G41" s="2457" t="s"/>
      <c r="H41" s="2458" t="s"/>
      <c r="I41" s="2459" t="s"/>
      <c r="J41" s="2460" t="s"/>
      <c r="K41" s="395" t="n">
        <f aca="false" ca="false" dt2D="false" dtr="false" t="normal">SUM(K40*K39)+8</f>
        <v>4686.384224601591</v>
      </c>
      <c r="L41" s="3" t="n"/>
      <c r="M41" s="2465" t="n"/>
      <c r="N41" s="3" t="n"/>
    </row>
    <row hidden="false" ht="15.75" outlineLevel="0" r="42">
      <c r="L42" s="3" t="n"/>
      <c r="M42" s="2465" t="n"/>
      <c r="N42" s="3" t="n"/>
    </row>
    <row customHeight="true" hidden="false" ht="40.5" outlineLevel="0" r="43">
      <c r="A43" s="403" t="s">
        <v>280</v>
      </c>
      <c r="B43" s="403" t="s"/>
      <c r="C43" s="403" t="s"/>
      <c r="D43" s="403" t="s"/>
      <c r="E43" s="403" t="s"/>
      <c r="F43" s="403" t="s"/>
      <c r="G43" s="403" t="s"/>
      <c r="H43" s="403" t="s"/>
      <c r="I43" s="403" t="s"/>
      <c r="J43" s="403" t="s"/>
      <c r="K43" s="403" t="s"/>
      <c r="L43" s="3" t="n"/>
      <c r="M43" s="2465" t="n"/>
      <c r="N43" s="3" t="n"/>
    </row>
    <row customHeight="true" hidden="false" ht="31.5" outlineLevel="0" r="44">
      <c r="A44" s="169" t="s">
        <v>239</v>
      </c>
      <c r="B44" s="169" t="s">
        <v>240</v>
      </c>
      <c r="C44" s="2471" t="s"/>
      <c r="D44" s="2472" t="s"/>
      <c r="E44" s="2474" t="s"/>
      <c r="F44" s="2476" t="s"/>
      <c r="G44" s="2477" t="s"/>
      <c r="H44" s="2478" t="s"/>
      <c r="I44" s="2479" t="s"/>
      <c r="J44" s="2480" t="s"/>
      <c r="K44" s="417" t="s">
        <v>241</v>
      </c>
      <c r="L44" s="3" t="n"/>
      <c r="M44" s="2465" t="n"/>
      <c r="N44" s="3" t="n"/>
    </row>
    <row customHeight="true" hidden="false" ht="15.75" outlineLevel="0" r="45">
      <c r="A45" s="67" t="n">
        <v>1</v>
      </c>
      <c r="B45" s="177" t="s">
        <v>242</v>
      </c>
      <c r="C45" s="2484" t="s"/>
      <c r="D45" s="2486" t="s"/>
      <c r="E45" s="2488" t="s"/>
      <c r="F45" s="2489" t="s"/>
      <c r="G45" s="2490" t="s"/>
      <c r="H45" s="2491" t="s"/>
      <c r="I45" s="2492" t="s"/>
      <c r="J45" s="2493" t="s"/>
      <c r="K45" s="434" t="n">
        <f aca="false" ca="false" dt2D="false" dtr="false" t="normal">SUM(L13)</f>
        <v>5951.47536375</v>
      </c>
      <c r="L45" s="3" t="n"/>
      <c r="M45" s="2465" t="n"/>
      <c r="N45" s="3" t="n"/>
    </row>
    <row customHeight="true" hidden="false" ht="15.75" outlineLevel="0" r="46">
      <c r="A46" s="67" t="n">
        <v>2</v>
      </c>
      <c r="B46" s="189" t="s">
        <v>243</v>
      </c>
      <c r="C46" s="2500" t="s"/>
      <c r="D46" s="2501" t="s"/>
      <c r="E46" s="2502" t="s"/>
      <c r="F46" s="2503" t="s"/>
      <c r="G46" s="2505" t="s"/>
      <c r="H46" s="2507" t="s"/>
      <c r="I46" s="2508" t="s"/>
      <c r="J46" s="2509" t="s"/>
      <c r="K46" s="434" t="n">
        <f aca="false" ca="false" dt2D="false" dtr="false" t="normal">SUM(L19)</f>
        <v>103.37</v>
      </c>
      <c r="L46" s="3" t="n"/>
      <c r="M46" s="2465" t="n"/>
      <c r="N46" s="3" t="n"/>
    </row>
    <row customHeight="true" hidden="false" ht="30" outlineLevel="0" r="47">
      <c r="A47" s="67" t="n">
        <v>3</v>
      </c>
      <c r="B47" s="177" t="s">
        <v>244</v>
      </c>
      <c r="C47" s="2511" t="s"/>
      <c r="D47" s="2512" t="s"/>
      <c r="E47" s="2513" t="s"/>
      <c r="F47" s="2514" t="s"/>
      <c r="G47" s="2515" t="s"/>
      <c r="H47" s="2516" t="s"/>
      <c r="I47" s="2517" t="s"/>
      <c r="J47" s="2518" t="s"/>
      <c r="K47" s="2519" t="n">
        <f aca="false" ca="false" dt2D="false" dtr="false" t="normal">SUM(M26)/1000</f>
        <v>0.21354900000000002</v>
      </c>
      <c r="L47" s="3" t="n"/>
      <c r="M47" s="2465" t="n"/>
      <c r="N47" s="3" t="n"/>
    </row>
    <row customHeight="true" hidden="false" ht="15.75" outlineLevel="0" r="48">
      <c r="A48" s="67" t="n">
        <v>4</v>
      </c>
      <c r="B48" s="177" t="s">
        <v>245</v>
      </c>
      <c r="C48" s="2521" t="s"/>
      <c r="D48" s="2522" t="s"/>
      <c r="E48" s="2523" t="s"/>
      <c r="F48" s="2525" t="s"/>
      <c r="G48" s="2527" t="s"/>
      <c r="H48" s="2528" t="s"/>
      <c r="I48" s="2529" t="s"/>
      <c r="J48" s="2530" t="s"/>
      <c r="K48" s="434" t="n">
        <f aca="false" ca="false" dt2D="false" dtr="false" t="normal">SUM(K41)</f>
        <v>4686.384224601591</v>
      </c>
      <c r="L48" s="3" t="n"/>
      <c r="M48" s="2465" t="n"/>
      <c r="N48" s="3" t="n"/>
    </row>
    <row customHeight="true" hidden="false" ht="15.75" outlineLevel="0" r="49">
      <c r="A49" s="67" t="n">
        <v>5</v>
      </c>
      <c r="B49" s="189" t="s">
        <v>247</v>
      </c>
      <c r="C49" s="2535" t="s"/>
      <c r="D49" s="2536" t="s"/>
      <c r="E49" s="2537" t="s"/>
      <c r="F49" s="2538" t="s"/>
      <c r="G49" s="2540" t="s"/>
      <c r="H49" s="2541" t="s"/>
      <c r="I49" s="2542" t="s"/>
      <c r="J49" s="2544" t="s"/>
      <c r="K49" s="434" t="n">
        <f aca="false" ca="false" dt2D="false" dtr="false" t="normal">SUM(K45:K48)</f>
        <v>10741.44313735159</v>
      </c>
      <c r="L49" s="3" t="n"/>
      <c r="M49" s="2465" t="n"/>
      <c r="N49" s="3" t="n"/>
    </row>
    <row customHeight="true" hidden="false" ht="15.75" outlineLevel="0" r="50">
      <c r="A50" s="67" t="n">
        <v>6</v>
      </c>
      <c r="B50" s="189" t="s">
        <v>208</v>
      </c>
      <c r="C50" s="2550" t="s"/>
      <c r="D50" s="2551" t="s"/>
      <c r="E50" s="2552" t="s"/>
      <c r="F50" s="2553" t="s"/>
      <c r="G50" s="2554" t="s"/>
      <c r="H50" s="2555" t="s"/>
      <c r="I50" s="2556" t="s"/>
      <c r="J50" s="2557" t="s"/>
      <c r="K50" s="434" t="n">
        <f aca="false" ca="false" dt2D="false" dtr="false" t="normal">SUM(K49*0.22)</f>
        <v>2363.11749021735</v>
      </c>
      <c r="L50" s="3" t="n"/>
      <c r="M50" s="2465" t="n"/>
      <c r="N50" s="3" t="n"/>
    </row>
    <row customHeight="true" hidden="false" ht="15.75" outlineLevel="0" r="51">
      <c r="A51" s="67" t="n"/>
      <c r="B51" s="177" t="s">
        <v>211</v>
      </c>
      <c r="C51" s="2562" t="s"/>
      <c r="D51" s="2563" t="s"/>
      <c r="E51" s="2564" t="s"/>
      <c r="F51" s="2566" t="s"/>
      <c r="G51" s="2567" t="s"/>
      <c r="H51" s="2568" t="s"/>
      <c r="I51" s="2570" t="s"/>
      <c r="J51" s="2572" t="s"/>
      <c r="K51" s="512" t="n">
        <f aca="false" ca="false" dt2D="false" dtr="false" t="normal">SUM(K49:K50)-105</f>
        <v>12999.56062756894</v>
      </c>
      <c r="L51" s="3" t="n"/>
      <c r="M51" s="2465" t="n"/>
      <c r="N51" s="3" t="n"/>
    </row>
    <row hidden="false" ht="15.75" outlineLevel="0"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  <c r="L52" s="3" t="n"/>
      <c r="M52" s="3" t="n"/>
      <c r="N52" s="3" t="n"/>
    </row>
    <row hidden="false" ht="15.75" outlineLevel="0" r="53">
      <c r="A53" s="3" t="n"/>
      <c r="B53" s="3" t="n"/>
      <c r="C53" s="3" t="n"/>
      <c r="D53" s="3" t="n"/>
      <c r="E53" s="3" t="n"/>
      <c r="F53" s="3" t="n"/>
      <c r="G53" s="3" t="n"/>
      <c r="H53" s="3" t="n"/>
      <c r="I53" s="3" t="n"/>
      <c r="J53" s="3" t="n"/>
      <c r="K53" s="3" t="n"/>
      <c r="L53" s="3" t="n"/>
      <c r="M53" s="3" t="n"/>
      <c r="N53" s="3" t="n"/>
    </row>
    <row hidden="false" ht="15.75" outlineLevel="0" r="54">
      <c r="A54" s="3" t="n"/>
      <c r="B54" s="3" t="n"/>
      <c r="C54" s="3" t="n"/>
      <c r="D54" s="3" t="n"/>
      <c r="E54" s="3" t="n"/>
      <c r="F54" s="3" t="n"/>
      <c r="G54" s="3" t="n"/>
      <c r="H54" s="3" t="n"/>
      <c r="I54" s="3" t="n"/>
      <c r="J54" s="3" t="n"/>
      <c r="K54" s="3" t="n"/>
      <c r="L54" s="3" t="n"/>
      <c r="M54" s="3" t="n"/>
      <c r="N54" s="3" t="n"/>
    </row>
    <row hidden="false" ht="15.75" outlineLevel="0" r="55">
      <c r="A55" s="3" t="n"/>
      <c r="B55" s="3" t="n"/>
      <c r="C55" s="3" t="n"/>
      <c r="D55" s="3" t="n"/>
      <c r="E55" s="3" t="n"/>
      <c r="F55" s="3" t="n"/>
      <c r="G55" s="3" t="n"/>
      <c r="H55" s="3" t="n"/>
      <c r="I55" s="3" t="n"/>
      <c r="J55" s="3" t="n"/>
      <c r="K55" s="3" t="n"/>
      <c r="L55" s="3" t="n"/>
      <c r="M55" s="3" t="n"/>
      <c r="N55" s="3" t="n"/>
    </row>
    <row hidden="false" ht="15.75" outlineLevel="0" r="56">
      <c r="A56" s="3" t="n"/>
      <c r="B56" s="3" t="n"/>
      <c r="C56" s="3" t="n"/>
      <c r="D56" s="3" t="n"/>
      <c r="E56" s="3" t="n"/>
      <c r="F56" s="3" t="n"/>
      <c r="G56" s="3" t="n"/>
      <c r="H56" s="3" t="n"/>
      <c r="I56" s="3" t="n"/>
      <c r="J56" s="3" t="n"/>
      <c r="K56" s="3" t="n"/>
      <c r="L56" s="3" t="n"/>
      <c r="M56" s="3" t="n"/>
      <c r="N56" s="3" t="n"/>
    </row>
    <row customHeight="true" hidden="false" ht="34.5" outlineLevel="0" r="57">
      <c r="A57" s="519" t="n"/>
      <c r="B57" s="519" t="s"/>
      <c r="C57" s="519" t="s"/>
      <c r="D57" s="519" t="s"/>
      <c r="E57" s="519" t="s"/>
      <c r="F57" s="519" t="s"/>
      <c r="G57" s="519" t="s"/>
      <c r="H57" s="519" t="s"/>
      <c r="I57" s="519" t="s"/>
      <c r="J57" s="519" t="s"/>
      <c r="K57" s="519" t="s"/>
      <c r="L57" s="3" t="n"/>
      <c r="M57" s="3" t="n"/>
      <c r="N57" s="3" t="n"/>
    </row>
    <row hidden="false" ht="15.75" outlineLevel="0" r="58">
      <c r="A58" s="3" t="n"/>
      <c r="B58" s="3" t="n"/>
      <c r="C58" s="3" t="n"/>
      <c r="D58" s="2589" t="n"/>
      <c r="E58" s="3" t="n"/>
      <c r="F58" s="3" t="n"/>
      <c r="G58" s="3" t="n"/>
      <c r="H58" s="3" t="n"/>
      <c r="I58" s="3" t="n"/>
      <c r="J58" s="3" t="n"/>
      <c r="K58" s="3" t="n"/>
      <c r="L58" s="3" t="n"/>
      <c r="M58" s="3" t="n"/>
      <c r="N58" s="3" t="n"/>
    </row>
    <row customHeight="true" hidden="false" ht="37.5" outlineLevel="0" r="59">
      <c r="A59" s="519" t="n"/>
      <c r="B59" s="519" t="s"/>
      <c r="C59" s="519" t="s"/>
      <c r="D59" s="519" t="s"/>
      <c r="E59" s="519" t="s"/>
      <c r="F59" s="519" t="s"/>
      <c r="G59" s="519" t="s"/>
      <c r="H59" s="519" t="s"/>
      <c r="I59" s="519" t="s"/>
      <c r="J59" s="519" t="s"/>
      <c r="K59" s="519" t="s"/>
      <c r="L59" s="3" t="n"/>
      <c r="M59" s="3" t="n"/>
      <c r="N59" s="3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95">
    <mergeCell ref="B1:N1"/>
    <mergeCell ref="I4:O4"/>
    <mergeCell ref="B7:N7"/>
    <mergeCell ref="B10:C10"/>
    <mergeCell ref="B12:C12"/>
    <mergeCell ref="D12:F12"/>
    <mergeCell ref="B13:C13"/>
    <mergeCell ref="D13:F13"/>
    <mergeCell ref="G12:H12"/>
    <mergeCell ref="I12:K12"/>
    <mergeCell ref="L12:N12"/>
    <mergeCell ref="G13:H13"/>
    <mergeCell ref="I13:K13"/>
    <mergeCell ref="L13:N13"/>
    <mergeCell ref="D10:F10"/>
    <mergeCell ref="G10:H10"/>
    <mergeCell ref="B11:C11"/>
    <mergeCell ref="D11:F11"/>
    <mergeCell ref="G11:H11"/>
    <mergeCell ref="I10:K10"/>
    <mergeCell ref="L10:N10"/>
    <mergeCell ref="L11:N11"/>
    <mergeCell ref="I11:K11"/>
    <mergeCell ref="B15:F15"/>
    <mergeCell ref="B16:C16"/>
    <mergeCell ref="D16:F16"/>
    <mergeCell ref="I15:K15"/>
    <mergeCell ref="L15:N15"/>
    <mergeCell ref="G16:H16"/>
    <mergeCell ref="I16:K16"/>
    <mergeCell ref="L16:N16"/>
    <mergeCell ref="B17:C17"/>
    <mergeCell ref="D17:F17"/>
    <mergeCell ref="B18:C18"/>
    <mergeCell ref="D18:F18"/>
    <mergeCell ref="G17:H17"/>
    <mergeCell ref="G18:H18"/>
    <mergeCell ref="I17:K17"/>
    <mergeCell ref="L17:N17"/>
    <mergeCell ref="I18:K18"/>
    <mergeCell ref="L18:N18"/>
    <mergeCell ref="G19:H19"/>
    <mergeCell ref="L19:N19"/>
    <mergeCell ref="I19:K19"/>
    <mergeCell ref="B19:C19"/>
    <mergeCell ref="D19:F19"/>
    <mergeCell ref="D22:F22"/>
    <mergeCell ref="B22:C22"/>
    <mergeCell ref="B23:C23"/>
    <mergeCell ref="D23:F23"/>
    <mergeCell ref="D24:F24"/>
    <mergeCell ref="B24:C24"/>
    <mergeCell ref="D25:F25"/>
    <mergeCell ref="B25:C25"/>
    <mergeCell ref="D26:F26"/>
    <mergeCell ref="B26:C26"/>
    <mergeCell ref="M22:N22"/>
    <mergeCell ref="J22:L22"/>
    <mergeCell ref="H23:I23"/>
    <mergeCell ref="H22:I22"/>
    <mergeCell ref="J23:L23"/>
    <mergeCell ref="M23:N23"/>
    <mergeCell ref="M24:N24"/>
    <mergeCell ref="M25:N25"/>
    <mergeCell ref="J24:L24"/>
    <mergeCell ref="M26:N26"/>
    <mergeCell ref="J25:L25"/>
    <mergeCell ref="J26:L26"/>
    <mergeCell ref="H24:I24"/>
    <mergeCell ref="H25:I25"/>
    <mergeCell ref="H26:I26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A43:K43"/>
    <mergeCell ref="B44:J44"/>
    <mergeCell ref="B45:J45"/>
    <mergeCell ref="B46:J46"/>
    <mergeCell ref="B47:J47"/>
    <mergeCell ref="B48:J48"/>
    <mergeCell ref="B49:J49"/>
    <mergeCell ref="B50:J50"/>
    <mergeCell ref="B51:J51"/>
    <mergeCell ref="A57:K57"/>
    <mergeCell ref="A59:K59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1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O56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" min="1" outlineLevel="0" style="398" width="4.92275009401411"/>
    <col customWidth="true" hidden="false" max="3" min="3" outlineLevel="0" style="398" width="15.074072288431"/>
    <col customWidth="true" hidden="false" max="11" min="11" outlineLevel="0" style="398" width="13.2292744783888"/>
    <col customWidth="true" hidden="false" max="12" min="12" outlineLevel="0" style="398" width="5.20884157198013"/>
    <col customWidth="true" hidden="false" max="13" min="13" outlineLevel="0" style="398" width="9.99347864369999"/>
  </cols>
  <sheetData>
    <row hidden="false" ht="15.75" outlineLevel="0" r="1">
      <c r="A1" s="93" t="n"/>
      <c r="B1" s="1524" t="n"/>
      <c r="C1" s="1524" t="n"/>
      <c r="D1" s="1524" t="n"/>
      <c r="E1" s="1524" t="n"/>
      <c r="F1" s="1524" t="n"/>
      <c r="G1" s="1524" t="n"/>
      <c r="H1" s="1524" t="n"/>
      <c r="I1" s="101" t="s">
        <v>175</v>
      </c>
      <c r="J1" s="101" t="n"/>
      <c r="K1" s="4" t="n"/>
      <c r="L1" s="104" t="n"/>
      <c r="M1" s="104" t="n"/>
      <c r="N1" s="104" t="n"/>
      <c r="O1" s="104" t="n"/>
    </row>
    <row hidden="false" ht="15.75" outlineLevel="0" r="2">
      <c r="A2" s="93" t="n"/>
      <c r="B2" s="1524" t="n"/>
      <c r="C2" s="1524" t="n"/>
      <c r="D2" s="1524" t="n"/>
      <c r="E2" s="1524" t="n"/>
      <c r="F2" s="1524" t="n"/>
      <c r="G2" s="1524" t="n"/>
      <c r="H2" s="1524" t="n"/>
      <c r="I2" s="105" t="s">
        <v>176</v>
      </c>
      <c r="J2" s="4" t="n"/>
      <c r="K2" s="4" t="n"/>
      <c r="L2" s="4" t="n"/>
      <c r="M2" s="4" t="n"/>
      <c r="N2" s="4" t="n"/>
      <c r="O2" s="4" t="n"/>
    </row>
    <row hidden="false" ht="15.75" outlineLevel="0" r="3">
      <c r="A3" s="93" t="n"/>
      <c r="B3" s="1524" t="n"/>
      <c r="C3" s="1524" t="n"/>
      <c r="D3" s="1524" t="n"/>
      <c r="E3" s="1524" t="n"/>
      <c r="F3" s="1524" t="n"/>
      <c r="G3" s="1524" t="n"/>
      <c r="H3" s="1524" t="n"/>
      <c r="I3" s="101" t="s">
        <v>226</v>
      </c>
      <c r="J3" s="101" t="s"/>
      <c r="K3" s="101" t="s"/>
      <c r="L3" s="101" t="s"/>
      <c r="M3" s="101" t="s"/>
      <c r="N3" s="101" t="s"/>
      <c r="O3" s="101" t="s"/>
    </row>
    <row hidden="false" ht="15.75" outlineLevel="0" r="4">
      <c r="A4" s="93" t="n"/>
      <c r="B4" s="1524" t="n"/>
      <c r="C4" s="1524" t="n"/>
      <c r="D4" s="1524" t="n"/>
      <c r="E4" s="1524" t="n"/>
      <c r="F4" s="1524" t="n"/>
      <c r="G4" s="1524" t="n"/>
      <c r="H4" s="1524" t="n"/>
      <c r="I4" s="105" t="s">
        <v>178</v>
      </c>
      <c r="J4" s="105" t="n"/>
      <c r="K4" s="4" t="n"/>
      <c r="L4" s="4" t="n"/>
      <c r="M4" s="4" t="n"/>
      <c r="N4" s="4" t="n"/>
      <c r="O4" s="4" t="n"/>
    </row>
    <row customHeight="true" hidden="false" ht="68.25" outlineLevel="0" r="5">
      <c r="A5" s="115" t="s">
        <v>281</v>
      </c>
      <c r="B5" s="115" t="s"/>
      <c r="C5" s="115" t="s"/>
      <c r="D5" s="115" t="s"/>
      <c r="E5" s="115" t="s"/>
      <c r="F5" s="115" t="s"/>
      <c r="G5" s="115" t="s"/>
      <c r="H5" s="115" t="s"/>
      <c r="I5" s="115" t="s"/>
      <c r="J5" s="115" t="s"/>
      <c r="K5" s="115" t="s"/>
      <c r="L5" s="115" t="s"/>
      <c r="M5" s="115" t="s"/>
      <c r="N5" s="115" t="s"/>
    </row>
    <row customHeight="true" hidden="false" ht="3" outlineLevel="0" r="6">
      <c r="A6" s="115" t="n"/>
      <c r="B6" s="115" t="n"/>
      <c r="C6" s="115" t="n"/>
      <c r="D6" s="115" t="n"/>
      <c r="E6" s="115" t="n"/>
      <c r="F6" s="115" t="n"/>
      <c r="G6" s="115" t="n"/>
      <c r="H6" s="115" t="n"/>
      <c r="I6" s="115" t="n"/>
      <c r="J6" s="115" t="n"/>
      <c r="K6" s="115" t="n"/>
      <c r="L6" s="115" t="n"/>
      <c r="M6" s="115" t="n"/>
      <c r="N6" s="115" t="n"/>
    </row>
    <row hidden="false" ht="15.75" outlineLevel="0" r="7">
      <c r="A7" s="4" t="n"/>
      <c r="B7" s="101" t="s">
        <v>232</v>
      </c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</row>
    <row customHeight="true" hidden="false" ht="81.75" outlineLevel="0" r="8">
      <c r="A8" s="124" t="n"/>
      <c r="B8" s="129" t="s">
        <v>184</v>
      </c>
      <c r="C8" s="2614" t="s"/>
      <c r="D8" s="129" t="s">
        <v>233</v>
      </c>
      <c r="E8" s="2615" t="s"/>
      <c r="F8" s="2617" t="s"/>
      <c r="G8" s="129" t="s">
        <v>186</v>
      </c>
      <c r="H8" s="2624" t="s"/>
      <c r="I8" s="129" t="s">
        <v>187</v>
      </c>
      <c r="J8" s="2626" t="s"/>
      <c r="K8" s="2627" t="s"/>
      <c r="L8" s="129" t="s">
        <v>188</v>
      </c>
      <c r="M8" s="2628" t="s"/>
      <c r="N8" s="2629" t="s"/>
    </row>
    <row customHeight="true" hidden="false" ht="15.75" outlineLevel="0" r="9">
      <c r="A9" s="17" t="n">
        <v>1</v>
      </c>
      <c r="B9" s="144" t="s">
        <v>189</v>
      </c>
      <c r="C9" s="2633" t="s"/>
      <c r="D9" s="153" t="n">
        <f aca="false" ca="false" dt2D="false" dtr="false" t="normal">68227*1.302</f>
        <v>88831.554</v>
      </c>
      <c r="E9" s="2647" t="s"/>
      <c r="F9" s="2648" t="s"/>
      <c r="G9" s="159" t="n">
        <v>9600</v>
      </c>
      <c r="H9" s="2649" t="s"/>
      <c r="I9" s="159" t="n">
        <f aca="false" ca="false" dt2D="false" dtr="false" t="normal">SUM(60*26.5)</f>
        <v>1590</v>
      </c>
      <c r="J9" s="2658" t="s"/>
      <c r="K9" s="2659" t="s"/>
      <c r="L9" s="153" t="n">
        <f aca="false" ca="false" dt2D="false" dtr="false" t="normal">D9/G9*I9</f>
        <v>14712.726131250001</v>
      </c>
      <c r="M9" s="2668" t="s"/>
      <c r="N9" s="2669" t="s"/>
    </row>
    <row customHeight="true" hidden="false" ht="15.75" outlineLevel="0" r="10">
      <c r="A10" s="17" t="n">
        <v>2</v>
      </c>
      <c r="B10" s="144" t="s">
        <v>237</v>
      </c>
      <c r="C10" s="2673" t="s"/>
      <c r="D10" s="153" t="n">
        <f aca="false" ca="false" dt2D="false" dtr="false" t="normal">98188.2*1.302</f>
        <v>127841.0364</v>
      </c>
      <c r="E10" s="2679" t="s"/>
      <c r="F10" s="2680" t="s"/>
      <c r="G10" s="159" t="n">
        <v>9600</v>
      </c>
      <c r="H10" s="2681" t="s"/>
      <c r="I10" s="159" t="n">
        <f aca="false" ca="false" dt2D="false" dtr="false" t="normal">60*1</f>
        <v>60</v>
      </c>
      <c r="J10" s="2687" t="s"/>
      <c r="K10" s="2689" t="s"/>
      <c r="L10" s="153" t="n">
        <f aca="false" ca="false" dt2D="false" dtr="false" t="normal">D10/G10*I10</f>
        <v>799.0064775</v>
      </c>
      <c r="M10" s="2692" t="s"/>
      <c r="N10" s="2693" t="s"/>
    </row>
    <row customHeight="true" hidden="false" ht="15.75" outlineLevel="0" r="11">
      <c r="A11" s="17" t="n"/>
      <c r="B11" s="144" t="s">
        <v>183</v>
      </c>
      <c r="C11" s="2702" t="s"/>
      <c r="D11" s="153" t="n">
        <f aca="false" ca="false" dt2D="false" dtr="false" t="normal">SUM(D9:F10)</f>
        <v>216672.5904</v>
      </c>
      <c r="E11" s="2703" t="s"/>
      <c r="F11" s="2704" t="s"/>
      <c r="G11" s="159" t="n">
        <f aca="false" ca="false" dt2D="false" dtr="false" t="normal">SUM(G9:H10)</f>
        <v>19200</v>
      </c>
      <c r="H11" s="2705" t="s"/>
      <c r="I11" s="159" t="n">
        <f aca="false" ca="false" dt2D="false" dtr="false" t="normal">SUM(I9:K10)</f>
        <v>1650</v>
      </c>
      <c r="J11" s="2706" t="s"/>
      <c r="K11" s="2707" t="s"/>
      <c r="L11" s="630" t="n">
        <f aca="false" ca="false" dt2D="false" dtr="false" t="normal">SUM(L9:N10)</f>
        <v>15511.73260875</v>
      </c>
      <c r="M11" s="2709" t="s"/>
      <c r="N11" s="2711" t="s"/>
    </row>
    <row hidden="false" ht="15.75" outlineLevel="0" r="12">
      <c r="A12" s="1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 t="n"/>
      <c r="N12" s="3" t="n"/>
    </row>
    <row customHeight="true" hidden="false" ht="15.75" outlineLevel="0" r="13">
      <c r="A13" s="1" t="n"/>
      <c r="B13" s="2429" t="s">
        <v>198</v>
      </c>
      <c r="C13" s="2723" t="s"/>
      <c r="D13" s="2725" t="s"/>
      <c r="E13" s="2727" t="s"/>
      <c r="F13" s="2729" t="s"/>
      <c r="G13" s="265" t="n"/>
      <c r="H13" s="265" t="n"/>
      <c r="I13" s="265" t="n"/>
      <c r="J13" s="265" t="s"/>
      <c r="K13" s="265" t="s"/>
      <c r="L13" s="2434" t="n"/>
      <c r="M13" s="2730" t="s"/>
      <c r="N13" s="2731" t="s"/>
    </row>
    <row customHeight="true" hidden="false" ht="72" outlineLevel="0" r="14">
      <c r="A14" s="20" t="n"/>
      <c r="B14" s="129" t="s">
        <v>200</v>
      </c>
      <c r="C14" s="2732" t="s"/>
      <c r="D14" s="129" t="s">
        <v>201</v>
      </c>
      <c r="E14" s="2734" t="s"/>
      <c r="F14" s="2737" t="s"/>
      <c r="G14" s="129" t="s">
        <v>202</v>
      </c>
      <c r="H14" s="2742" t="s"/>
      <c r="I14" s="129" t="s">
        <v>203</v>
      </c>
      <c r="J14" s="2744" t="s"/>
      <c r="K14" s="2745" t="s"/>
      <c r="L14" s="129" t="s">
        <v>204</v>
      </c>
      <c r="M14" s="2746" t="s"/>
      <c r="N14" s="2747" t="s"/>
    </row>
    <row customHeight="true" hidden="false" ht="15.75" outlineLevel="0" r="15">
      <c r="A15" s="17" t="n">
        <v>1</v>
      </c>
      <c r="B15" s="144" t="s">
        <v>205</v>
      </c>
      <c r="C15" s="2748" t="s"/>
      <c r="D15" s="159" t="s">
        <v>207</v>
      </c>
      <c r="E15" s="2749" t="s"/>
      <c r="F15" s="2750" t="s"/>
      <c r="G15" s="159" t="n">
        <v>10</v>
      </c>
      <c r="H15" s="2754" t="s"/>
      <c r="I15" s="159" t="n">
        <f aca="false" ca="false" dt2D="false" dtr="false" t="normal">587/500</f>
        <v>1.174</v>
      </c>
      <c r="J15" s="2760" t="s"/>
      <c r="K15" s="2761" t="s"/>
      <c r="L15" s="159" t="n">
        <f aca="false" ca="false" dt2D="false" dtr="false" t="normal">G15*I15</f>
        <v>11.739999999999998</v>
      </c>
      <c r="M15" s="2762" t="s"/>
      <c r="N15" s="2763" t="s"/>
    </row>
    <row customHeight="true" hidden="false" ht="15.75" outlineLevel="0" r="16">
      <c r="A16" s="17" t="n">
        <v>2</v>
      </c>
      <c r="B16" s="144" t="s">
        <v>209</v>
      </c>
      <c r="C16" s="2768" t="s"/>
      <c r="D16" s="159" t="s">
        <v>210</v>
      </c>
      <c r="E16" s="2773" t="s"/>
      <c r="F16" s="2774" t="s"/>
      <c r="G16" s="159" t="n">
        <v>0.078</v>
      </c>
      <c r="H16" s="2775" t="s"/>
      <c r="I16" s="159" t="n">
        <v>1250</v>
      </c>
      <c r="J16" s="2776" t="s"/>
      <c r="K16" s="2777" t="s"/>
      <c r="L16" s="159" t="n">
        <f aca="false" ca="false" dt2D="false" dtr="false" t="normal">G16*I16</f>
        <v>97.5</v>
      </c>
      <c r="M16" s="2781" t="s"/>
      <c r="N16" s="2783" t="s"/>
    </row>
    <row customHeight="true" hidden="false" ht="15.75" outlineLevel="0" r="17">
      <c r="A17" s="17" t="n"/>
      <c r="B17" s="159" t="n"/>
      <c r="C17" s="2788" t="s"/>
      <c r="D17" s="159" t="n"/>
      <c r="E17" s="2789" t="s"/>
      <c r="F17" s="2790" t="s"/>
      <c r="G17" s="159" t="n"/>
      <c r="H17" s="2791" t="s"/>
      <c r="I17" s="159" t="n"/>
      <c r="J17" s="2792" t="s"/>
      <c r="K17" s="2793" t="s"/>
      <c r="L17" s="2418" t="n">
        <f aca="false" ca="false" dt2D="false" dtr="false" t="normal">SUM(L15:N16)</f>
        <v>109.24</v>
      </c>
      <c r="M17" s="2800" t="s"/>
      <c r="N17" s="2803" t="s"/>
    </row>
    <row hidden="false" ht="15.75" outlineLevel="0" r="18">
      <c r="A18" s="1" t="n"/>
      <c r="B18" s="265" t="n"/>
      <c r="C18" s="265" t="n"/>
      <c r="D18" s="265" t="n"/>
      <c r="E18" s="265" t="n"/>
      <c r="F18" s="265" t="n"/>
      <c r="G18" s="265" t="n"/>
      <c r="H18" s="265" t="n"/>
      <c r="I18" s="265" t="n"/>
      <c r="J18" s="265" t="n"/>
      <c r="K18" s="265" t="n"/>
      <c r="L18" s="2510" t="n"/>
      <c r="M18" s="2510" t="n"/>
      <c r="N18" s="2510" t="n"/>
    </row>
    <row hidden="false" ht="15.75" outlineLevel="0" r="19">
      <c r="A19" s="1" t="n"/>
      <c r="B19" s="5" t="s">
        <v>212</v>
      </c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  <c r="M19" s="3" t="n"/>
      <c r="N19" s="3" t="n"/>
    </row>
    <row customHeight="true" hidden="false" ht="63" outlineLevel="0" r="20">
      <c r="A20" s="17" t="n"/>
      <c r="B20" s="129" t="s">
        <v>213</v>
      </c>
      <c r="C20" s="2812" t="s"/>
      <c r="D20" s="129" t="s">
        <v>214</v>
      </c>
      <c r="E20" s="2813" t="s"/>
      <c r="F20" s="2814" t="s"/>
      <c r="G20" s="259" t="s">
        <v>215</v>
      </c>
      <c r="H20" s="169" t="s">
        <v>216</v>
      </c>
      <c r="I20" s="2816" t="s"/>
      <c r="J20" s="129" t="s">
        <v>217</v>
      </c>
      <c r="K20" s="2817" t="s"/>
      <c r="L20" s="2818" t="s"/>
      <c r="M20" s="129" t="s">
        <v>218</v>
      </c>
      <c r="N20" s="2819" t="s"/>
    </row>
    <row customHeight="true" hidden="false" ht="15.75" outlineLevel="0" r="21">
      <c r="A21" s="17" t="n">
        <v>1</v>
      </c>
      <c r="B21" s="144" t="s">
        <v>173</v>
      </c>
      <c r="C21" s="2820" t="s"/>
      <c r="D21" s="159" t="n">
        <v>70000</v>
      </c>
      <c r="E21" s="2821" t="s"/>
      <c r="F21" s="2822" t="s"/>
      <c r="G21" s="2546" t="n">
        <v>0.3</v>
      </c>
      <c r="H21" s="44" t="s">
        <v>174</v>
      </c>
      <c r="I21" s="2823" t="s"/>
      <c r="J21" s="159" t="n">
        <v>26.5</v>
      </c>
      <c r="K21" s="2824" t="s"/>
      <c r="L21" s="2825" t="s"/>
      <c r="M21" s="164" t="n">
        <f aca="false" ca="false" dt2D="false" dtr="false" t="normal">D21*G21/H21*J21</f>
        <v>347.8125</v>
      </c>
      <c r="N21" s="2826" t="s"/>
    </row>
    <row customHeight="true" hidden="false" ht="15.75" outlineLevel="0" r="22">
      <c r="A22" s="17" t="n">
        <v>2</v>
      </c>
      <c r="B22" s="144" t="s">
        <v>179</v>
      </c>
      <c r="C22" s="2827" t="s"/>
      <c r="D22" s="159" t="n">
        <v>17856</v>
      </c>
      <c r="E22" s="2828" t="s"/>
      <c r="F22" s="2829" t="s"/>
      <c r="G22" s="2546" t="n">
        <v>0.3</v>
      </c>
      <c r="H22" s="44" t="s">
        <v>174</v>
      </c>
      <c r="I22" s="2830" t="s"/>
      <c r="J22" s="159" t="n">
        <v>0.5</v>
      </c>
      <c r="K22" s="2831" t="s"/>
      <c r="L22" s="2832" t="s"/>
      <c r="M22" s="164" t="n">
        <f aca="false" ca="false" dt2D="false" dtr="false" t="normal">D22*G22/H22*J22</f>
        <v>1.6740000000000002</v>
      </c>
      <c r="N22" s="2833" t="s"/>
    </row>
    <row hidden="false" ht="15.75" outlineLevel="0" r="23">
      <c r="A23" s="17" t="n"/>
      <c r="B23" s="144" t="n"/>
      <c r="C23" s="2834" t="s"/>
      <c r="D23" s="159" t="n"/>
      <c r="E23" s="2835" t="s"/>
      <c r="F23" s="2836" t="s"/>
      <c r="G23" s="2546" t="n"/>
      <c r="H23" s="44" t="n"/>
      <c r="I23" s="2837" t="s"/>
      <c r="J23" s="159" t="n"/>
      <c r="K23" s="2838" t="s"/>
      <c r="L23" s="2839" t="s"/>
      <c r="M23" s="2840" t="n">
        <f aca="false" ca="false" dt2D="false" dtr="false" t="normal">SUM(M21:N22)</f>
        <v>349.4865</v>
      </c>
      <c r="N23" s="2841" t="s"/>
    </row>
    <row hidden="false" ht="15.75" outlineLevel="0" r="24">
      <c r="A24" s="1" t="n"/>
      <c r="B24" s="3" t="n"/>
      <c r="C24" s="3" t="n"/>
      <c r="D24" s="3" t="n"/>
      <c r="E24" s="3" t="n"/>
      <c r="F24" s="3" t="n"/>
      <c r="G24" s="3" t="n"/>
      <c r="H24" s="3" t="n"/>
      <c r="I24" s="2588" t="n"/>
      <c r="J24" s="265" t="n"/>
      <c r="K24" s="265" t="n"/>
      <c r="L24" s="3" t="n"/>
      <c r="M24" s="3" t="n"/>
      <c r="N24" s="3" t="n"/>
    </row>
    <row hidden="false" ht="15.75" outlineLevel="0" r="25">
      <c r="A25" s="1" t="n"/>
      <c r="B25" s="264" t="s">
        <v>219</v>
      </c>
      <c r="C25" s="265" t="n"/>
      <c r="D25" s="265" t="n"/>
      <c r="E25" s="265" t="n"/>
      <c r="F25" s="265" t="n"/>
      <c r="G25" s="265" t="n"/>
      <c r="H25" s="265" t="n"/>
      <c r="I25" s="265" t="n"/>
      <c r="J25" s="3" t="n"/>
      <c r="K25" s="3" t="n"/>
      <c r="L25" s="3" t="n"/>
      <c r="M25" s="3" t="n"/>
      <c r="N25" s="3" t="n"/>
    </row>
    <row customHeight="true" hidden="false" ht="15.75" outlineLevel="0" r="26">
      <c r="A26" s="20" t="n"/>
      <c r="B26" s="266" t="s">
        <v>220</v>
      </c>
      <c r="C26" s="2842" t="s"/>
      <c r="D26" s="2843" t="s"/>
      <c r="E26" s="2844" t="s"/>
      <c r="F26" s="2845" t="s"/>
      <c r="G26" s="2846" t="s"/>
      <c r="H26" s="2847" t="s"/>
      <c r="I26" s="2848" t="s"/>
      <c r="J26" s="2849" t="s"/>
      <c r="K26" s="275" t="s">
        <v>221</v>
      </c>
      <c r="L26" s="3" t="n"/>
      <c r="M26" s="3" t="n"/>
      <c r="N26" s="3" t="n"/>
    </row>
    <row customHeight="true" hidden="false" ht="15.75" outlineLevel="0" r="27">
      <c r="A27" s="17" t="n">
        <v>1</v>
      </c>
      <c r="B27" s="276" t="s">
        <v>222</v>
      </c>
      <c r="C27" s="2851" t="s"/>
      <c r="D27" s="2853" t="s"/>
      <c r="E27" s="2855" t="s"/>
      <c r="F27" s="2857" t="s"/>
      <c r="G27" s="2859" t="s"/>
      <c r="H27" s="2861" t="s"/>
      <c r="I27" s="2864" t="s"/>
      <c r="J27" s="2865" t="s"/>
      <c r="K27" s="285" t="n">
        <f aca="false" ca="false" dt2D="false" dtr="false" t="normal">SUM(K28:K29)</f>
        <v>102005.23762063854</v>
      </c>
      <c r="L27" s="3" t="n"/>
      <c r="M27" s="3" t="n"/>
      <c r="N27" s="3" t="n"/>
    </row>
    <row customHeight="true" hidden="false" ht="15.75" outlineLevel="0" r="28">
      <c r="A28" s="17" t="n"/>
      <c r="B28" s="144" t="s">
        <v>223</v>
      </c>
      <c r="C28" s="2850" t="s"/>
      <c r="D28" s="2852" t="s"/>
      <c r="E28" s="2854" t="s"/>
      <c r="F28" s="2856" t="s"/>
      <c r="G28" s="2858" t="s"/>
      <c r="H28" s="2860" t="s"/>
      <c r="I28" s="2862" t="s"/>
      <c r="J28" s="2863" t="s"/>
      <c r="K28" s="285" t="n">
        <f aca="false" ca="false" dt2D="false" dtr="false" t="normal">(15990207-D11)*1.302/218</f>
        <v>94207.07248302386</v>
      </c>
      <c r="L28" s="3" t="n"/>
      <c r="M28" s="3" t="n"/>
      <c r="N28" s="3" t="n"/>
    </row>
    <row customHeight="true" hidden="false" ht="15.75" outlineLevel="0" r="29">
      <c r="A29" s="17" t="n"/>
      <c r="B29" s="144" t="s">
        <v>224</v>
      </c>
      <c r="C29" s="2598" t="s"/>
      <c r="D29" s="2599" t="s"/>
      <c r="E29" s="2600" t="s"/>
      <c r="F29" s="2601" t="s"/>
      <c r="G29" s="2602" t="s"/>
      <c r="H29" s="2603" t="s"/>
      <c r="I29" s="2604" t="s"/>
      <c r="J29" s="2605" t="s"/>
      <c r="K29" s="285" t="n">
        <f aca="false" ca="false" dt2D="false" dtr="false" t="normal">(200000+1500000)/218</f>
        <v>7798.165137614679</v>
      </c>
      <c r="L29" s="3" t="n"/>
      <c r="M29" s="3" t="n"/>
      <c r="N29" s="3" t="n"/>
    </row>
    <row customHeight="true" hidden="false" ht="15.75" outlineLevel="0" r="30">
      <c r="A30" s="17" t="n">
        <v>2</v>
      </c>
      <c r="B30" s="144" t="s">
        <v>225</v>
      </c>
      <c r="C30" s="2606" t="s"/>
      <c r="D30" s="2607" t="s"/>
      <c r="E30" s="2608" t="s"/>
      <c r="F30" s="2609" t="s"/>
      <c r="G30" s="2610" t="s"/>
      <c r="H30" s="2611" t="s"/>
      <c r="I30" s="2612" t="s"/>
      <c r="J30" s="2613" t="s"/>
      <c r="K30" s="285" t="n">
        <f aca="false" ca="false" dt2D="false" dtr="false" t="normal">SUM(K31:K32)</f>
        <v>68104.96788990825</v>
      </c>
      <c r="L30" s="3" t="n"/>
      <c r="M30" s="3" t="n"/>
      <c r="N30" s="3" t="n"/>
    </row>
    <row customHeight="true" hidden="false" ht="15.75" outlineLevel="0" r="31">
      <c r="A31" s="17" t="n"/>
      <c r="B31" s="310" t="s">
        <v>227</v>
      </c>
      <c r="C31" s="2616" t="s"/>
      <c r="D31" s="2618" t="s"/>
      <c r="E31" s="2619" t="s"/>
      <c r="F31" s="2620" t="s"/>
      <c r="G31" s="2621" t="s"/>
      <c r="H31" s="2622" t="s"/>
      <c r="I31" s="2623" t="s"/>
      <c r="J31" s="2625" t="s"/>
      <c r="K31" s="285" t="n">
        <f aca="false" ca="false" dt2D="false" dtr="false" t="normal">2000000/218</f>
        <v>9174.311926605504</v>
      </c>
      <c r="L31" s="3" t="n"/>
      <c r="M31" s="3" t="n"/>
      <c r="N31" s="3" t="n"/>
    </row>
    <row customHeight="true" hidden="false" ht="15.75" outlineLevel="0" r="32">
      <c r="A32" s="17" t="n"/>
      <c r="B32" s="310" t="s">
        <v>228</v>
      </c>
      <c r="C32" s="2630" t="s"/>
      <c r="D32" s="2631" t="s"/>
      <c r="E32" s="2632" t="s"/>
      <c r="F32" s="2634" t="s"/>
      <c r="G32" s="2635" t="s"/>
      <c r="H32" s="2636" t="s"/>
      <c r="I32" s="2637" t="s"/>
      <c r="J32" s="2638" t="s"/>
      <c r="K32" s="285" t="n">
        <f aca="false" ca="false" dt2D="false" dtr="false" t="normal">(8246883+3800000+800000)/218</f>
        <v>58930.65596330275</v>
      </c>
      <c r="L32" s="3" t="n"/>
      <c r="M32" s="3" t="n"/>
      <c r="N32" s="3" t="n"/>
    </row>
    <row customHeight="true" hidden="false" ht="15.75" outlineLevel="0" r="33">
      <c r="A33" s="17" t="n">
        <v>3</v>
      </c>
      <c r="B33" s="144" t="s">
        <v>230</v>
      </c>
      <c r="C33" s="2639" t="s"/>
      <c r="D33" s="2640" t="s"/>
      <c r="E33" s="2641" t="s"/>
      <c r="F33" s="2642" t="s"/>
      <c r="G33" s="2643" t="s"/>
      <c r="H33" s="2644" t="s"/>
      <c r="I33" s="2645" t="s"/>
      <c r="J33" s="2646" t="s"/>
      <c r="K33" s="285" t="n">
        <f aca="false" ca="false" dt2D="false" dtr="false" t="normal">M23</f>
        <v>349.4865</v>
      </c>
      <c r="L33" s="3" t="n"/>
      <c r="M33" s="3" t="n"/>
      <c r="N33" s="3" t="n"/>
    </row>
    <row customHeight="true" hidden="false" ht="15.75" outlineLevel="0" r="34">
      <c r="A34" s="17" t="n"/>
      <c r="B34" s="276" t="s">
        <v>183</v>
      </c>
      <c r="C34" s="2650" t="s"/>
      <c r="D34" s="2651" t="s"/>
      <c r="E34" s="2652" t="s"/>
      <c r="F34" s="2653" t="s"/>
      <c r="G34" s="2654" t="s"/>
      <c r="H34" s="2655" t="s"/>
      <c r="I34" s="2656" t="s"/>
      <c r="J34" s="2657" t="s"/>
      <c r="K34" s="285" t="n">
        <f aca="false" ca="false" dt2D="false" dtr="false" t="normal">K30+K33</f>
        <v>68454.45438990825</v>
      </c>
      <c r="L34" s="3" t="n"/>
      <c r="M34" s="3" t="n"/>
      <c r="N34" s="3" t="n"/>
    </row>
    <row customHeight="true" hidden="false" ht="15.75" outlineLevel="0" r="35">
      <c r="A35" s="17" t="n">
        <v>4</v>
      </c>
      <c r="B35" s="144" t="s">
        <v>231</v>
      </c>
      <c r="C35" s="2660" t="s"/>
      <c r="D35" s="2661" t="s"/>
      <c r="E35" s="2662" t="s"/>
      <c r="F35" s="2663" t="s"/>
      <c r="G35" s="2664" t="s"/>
      <c r="H35" s="2665" t="s"/>
      <c r="I35" s="2666" t="s"/>
      <c r="J35" s="2667" t="s"/>
      <c r="K35" s="285" t="n">
        <f aca="false" ca="false" dt2D="false" dtr="false" t="normal">SUM(D11)</f>
        <v>216672.5904</v>
      </c>
      <c r="L35" s="3" t="n"/>
      <c r="M35" s="3" t="n"/>
      <c r="N35" s="3" t="n"/>
    </row>
    <row customHeight="true" hidden="false" ht="15.75" outlineLevel="0" r="36">
      <c r="A36" s="17" t="n">
        <v>5</v>
      </c>
      <c r="B36" s="276" t="s">
        <v>234</v>
      </c>
      <c r="C36" s="2670" t="s"/>
      <c r="D36" s="2671" t="s"/>
      <c r="E36" s="2672" t="s"/>
      <c r="F36" s="2674" t="s"/>
      <c r="G36" s="2675" t="s"/>
      <c r="H36" s="2676" t="s"/>
      <c r="I36" s="2677" t="s"/>
      <c r="J36" s="2678" t="s"/>
      <c r="K36" s="285" t="n">
        <f aca="false" ca="false" dt2D="false" dtr="false" t="normal">(K27+K30+K33)/K35</f>
        <v>0.7867155310039936</v>
      </c>
      <c r="L36" s="3" t="n"/>
      <c r="M36" s="3" t="n"/>
      <c r="N36" s="3" t="n"/>
    </row>
    <row customHeight="true" hidden="false" ht="15.75" outlineLevel="0" r="37">
      <c r="A37" s="17" t="n">
        <f aca="false" ca="false" dt2D="false" dtr="false" t="normal">SUM(A36+1)</f>
        <v>6</v>
      </c>
      <c r="B37" s="144" t="s">
        <v>235</v>
      </c>
      <c r="C37" s="2682" t="s"/>
      <c r="D37" s="2683" t="s"/>
      <c r="E37" s="2684" t="s"/>
      <c r="F37" s="2685" t="s"/>
      <c r="G37" s="2686" t="s"/>
      <c r="H37" s="2688" t="s"/>
      <c r="I37" s="2690" t="s"/>
      <c r="J37" s="2691" t="s"/>
      <c r="K37" s="285" t="n">
        <f aca="false" ca="false" dt2D="false" dtr="false" t="normal">L11</f>
        <v>15511.73260875</v>
      </c>
      <c r="L37" s="3" t="n"/>
      <c r="M37" s="2465" t="n"/>
      <c r="N37" s="3" t="n"/>
    </row>
    <row customHeight="true" hidden="false" ht="15.75" outlineLevel="0" r="38">
      <c r="A38" s="383" t="n"/>
      <c r="B38" s="276" t="s">
        <v>236</v>
      </c>
      <c r="C38" s="2694" t="s"/>
      <c r="D38" s="2695" t="s"/>
      <c r="E38" s="2696" t="s"/>
      <c r="F38" s="2697" t="s"/>
      <c r="G38" s="2698" t="s"/>
      <c r="H38" s="2699" t="s"/>
      <c r="I38" s="2700" t="s"/>
      <c r="J38" s="2701" t="s"/>
      <c r="K38" s="395" t="n">
        <f aca="false" ca="false" dt2D="false" dtr="false" t="normal">SUM(K37*K36)</f>
        <v>12203.320956084719</v>
      </c>
      <c r="L38" s="3" t="n"/>
      <c r="M38" s="2465" t="n"/>
      <c r="N38" s="3" t="n"/>
    </row>
    <row hidden="false" ht="15.75" outlineLevel="0" r="39">
      <c r="L39" s="3" t="n"/>
      <c r="M39" s="2465" t="n"/>
      <c r="N39" s="3" t="n"/>
    </row>
    <row customHeight="true" hidden="false" ht="66" outlineLevel="0" r="40">
      <c r="A40" s="403" t="s">
        <v>282</v>
      </c>
      <c r="B40" s="403" t="s"/>
      <c r="C40" s="403" t="s"/>
      <c r="D40" s="403" t="s"/>
      <c r="E40" s="403" t="s"/>
      <c r="F40" s="403" t="s"/>
      <c r="G40" s="403" t="s"/>
      <c r="H40" s="403" t="s"/>
      <c r="I40" s="403" t="s"/>
      <c r="J40" s="403" t="s"/>
      <c r="K40" s="403" t="s"/>
      <c r="L40" s="3" t="n"/>
      <c r="M40" s="2465" t="n"/>
      <c r="N40" s="3" t="n"/>
    </row>
    <row customHeight="true" hidden="false" ht="31.5" outlineLevel="0" r="41">
      <c r="A41" s="169" t="s">
        <v>239</v>
      </c>
      <c r="B41" s="169" t="s">
        <v>240</v>
      </c>
      <c r="C41" s="2708" t="s"/>
      <c r="D41" s="2710" t="s"/>
      <c r="E41" s="2712" t="s"/>
      <c r="F41" s="2713" t="s"/>
      <c r="G41" s="2714" t="s"/>
      <c r="H41" s="2715" t="s"/>
      <c r="I41" s="2716" t="s"/>
      <c r="J41" s="2717" t="s"/>
      <c r="K41" s="417" t="s">
        <v>241</v>
      </c>
      <c r="L41" s="3" t="n"/>
      <c r="M41" s="2465" t="n"/>
      <c r="N41" s="3" t="n"/>
    </row>
    <row customHeight="true" hidden="false" ht="15.75" outlineLevel="0" r="42">
      <c r="A42" s="67" t="n">
        <v>1</v>
      </c>
      <c r="B42" s="177" t="s">
        <v>242</v>
      </c>
      <c r="C42" s="2718" t="s"/>
      <c r="D42" s="2719" t="s"/>
      <c r="E42" s="2720" t="s"/>
      <c r="F42" s="2721" t="s"/>
      <c r="G42" s="2722" t="s"/>
      <c r="H42" s="2724" t="s"/>
      <c r="I42" s="2726" t="s"/>
      <c r="J42" s="2728" t="s"/>
      <c r="K42" s="434" t="n">
        <f aca="false" ca="false" dt2D="false" dtr="false" t="normal">SUM(L11)</f>
        <v>15511.73260875</v>
      </c>
      <c r="L42" s="3" t="n"/>
      <c r="M42" s="2465" t="n"/>
      <c r="N42" s="3" t="n"/>
    </row>
    <row customHeight="true" hidden="false" ht="15.75" outlineLevel="0" r="43">
      <c r="A43" s="67" t="n">
        <v>2</v>
      </c>
      <c r="B43" s="189" t="s">
        <v>243</v>
      </c>
      <c r="C43" s="2733" t="s"/>
      <c r="D43" s="2735" t="s"/>
      <c r="E43" s="2736" t="s"/>
      <c r="F43" s="2738" t="s"/>
      <c r="G43" s="2739" t="s"/>
      <c r="H43" s="2740" t="s"/>
      <c r="I43" s="2741" t="s"/>
      <c r="J43" s="2743" t="s"/>
      <c r="K43" s="434" t="n">
        <f aca="false" ca="false" dt2D="false" dtr="false" t="normal">SUM(L17)</f>
        <v>109.24</v>
      </c>
      <c r="L43" s="3" t="n"/>
      <c r="M43" s="2465" t="n"/>
      <c r="N43" s="3" t="n"/>
    </row>
    <row customHeight="true" hidden="false" ht="30.75" outlineLevel="0" r="44">
      <c r="A44" s="67" t="n">
        <v>3</v>
      </c>
      <c r="B44" s="177" t="s">
        <v>244</v>
      </c>
      <c r="C44" s="2751" t="s"/>
      <c r="D44" s="2752" t="s"/>
      <c r="E44" s="2753" t="s"/>
      <c r="F44" s="2755" t="s"/>
      <c r="G44" s="2756" t="s"/>
      <c r="H44" s="2757" t="s"/>
      <c r="I44" s="2758" t="s"/>
      <c r="J44" s="2759" t="s"/>
      <c r="K44" s="2519" t="n">
        <f aca="false" ca="false" dt2D="false" dtr="false" t="normal">SUM(M23)/1000</f>
        <v>0.3494865</v>
      </c>
      <c r="L44" s="3" t="n"/>
      <c r="M44" s="2465" t="n"/>
      <c r="N44" s="3" t="n"/>
    </row>
    <row customHeight="true" hidden="false" ht="15.75" outlineLevel="0" r="45">
      <c r="A45" s="67" t="n">
        <v>4</v>
      </c>
      <c r="B45" s="177" t="s">
        <v>245</v>
      </c>
      <c r="C45" s="2764" t="s"/>
      <c r="D45" s="2765" t="s"/>
      <c r="E45" s="2766" t="s"/>
      <c r="F45" s="2767" t="s"/>
      <c r="G45" s="2769" t="s"/>
      <c r="H45" s="2770" t="s"/>
      <c r="I45" s="2771" t="s"/>
      <c r="J45" s="2772" t="s"/>
      <c r="K45" s="434" t="n">
        <f aca="false" ca="false" dt2D="false" dtr="false" t="normal">SUM(K38)</f>
        <v>12203.320956084719</v>
      </c>
      <c r="L45" s="3" t="n"/>
      <c r="M45" s="2465" t="n"/>
      <c r="N45" s="3" t="n"/>
    </row>
    <row customHeight="true" hidden="false" ht="15.75" outlineLevel="0" r="46">
      <c r="A46" s="67" t="n">
        <v>5</v>
      </c>
      <c r="B46" s="189" t="s">
        <v>247</v>
      </c>
      <c r="C46" s="2778" t="s"/>
      <c r="D46" s="2779" t="s"/>
      <c r="E46" s="2780" t="s"/>
      <c r="F46" s="2782" t="s"/>
      <c r="G46" s="2784" t="s"/>
      <c r="H46" s="2785" t="s"/>
      <c r="I46" s="2786" t="s"/>
      <c r="J46" s="2787" t="s"/>
      <c r="K46" s="434" t="n">
        <f aca="false" ca="false" dt2D="false" dtr="false" t="normal">SUM(K42:K45)</f>
        <v>27824.64305133472</v>
      </c>
      <c r="L46" s="3" t="n"/>
      <c r="M46" s="2465" t="n"/>
      <c r="N46" s="3" t="n"/>
    </row>
    <row customHeight="true" hidden="false" ht="15.75" outlineLevel="0" r="47">
      <c r="A47" s="67" t="n">
        <v>6</v>
      </c>
      <c r="B47" s="189" t="s">
        <v>208</v>
      </c>
      <c r="C47" s="2794" t="s"/>
      <c r="D47" s="2795" t="s"/>
      <c r="E47" s="2796" t="s"/>
      <c r="F47" s="2797" t="s"/>
      <c r="G47" s="2798" t="s"/>
      <c r="H47" s="2799" t="s"/>
      <c r="I47" s="2801" t="s"/>
      <c r="J47" s="2802" t="s"/>
      <c r="K47" s="434" t="n">
        <f aca="false" ca="false" dt2D="false" dtr="false" t="normal">SUM(K46*0.22)</f>
        <v>6121.421471293638</v>
      </c>
      <c r="L47" s="3" t="n"/>
      <c r="M47" s="2465" t="n"/>
      <c r="N47" s="3" t="n"/>
    </row>
    <row customHeight="true" hidden="false" ht="15.75" outlineLevel="0" r="48">
      <c r="A48" s="67" t="n"/>
      <c r="B48" s="177" t="s">
        <v>211</v>
      </c>
      <c r="C48" s="2804" t="s"/>
      <c r="D48" s="2805" t="s"/>
      <c r="E48" s="2806" t="s"/>
      <c r="F48" s="2807" t="s"/>
      <c r="G48" s="2808" t="s"/>
      <c r="H48" s="2809" t="s"/>
      <c r="I48" s="2810" t="s"/>
      <c r="J48" s="2811" t="s"/>
      <c r="K48" s="512" t="n">
        <f aca="false" ca="false" dt2D="false" dtr="false" t="normal">SUM(K46:K47)-246</f>
        <v>33700.06452262836</v>
      </c>
      <c r="L48" s="3" t="n"/>
      <c r="M48" s="2465" t="n"/>
      <c r="N48" s="3" t="n"/>
    </row>
    <row hidden="false" ht="15.75" outlineLevel="0"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2815" t="n"/>
      <c r="L49" s="3" t="n"/>
      <c r="M49" s="3" t="n"/>
      <c r="N49" s="3" t="n"/>
    </row>
    <row hidden="false" ht="15.75" outlineLevel="0"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2815" t="n"/>
      <c r="L50" s="3" t="n"/>
      <c r="M50" s="3" t="n"/>
      <c r="N50" s="3" t="n"/>
    </row>
    <row hidden="false" ht="15.75" outlineLevel="0"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2815" t="n"/>
      <c r="L51" s="3" t="n"/>
      <c r="M51" s="3" t="n"/>
      <c r="N51" s="3" t="n"/>
    </row>
    <row hidden="false" ht="15.75" outlineLevel="0"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  <c r="L52" s="3" t="n"/>
      <c r="M52" s="3" t="n"/>
      <c r="N52" s="3" t="n"/>
    </row>
    <row hidden="false" ht="15.75" outlineLevel="0" r="53">
      <c r="A53" s="3" t="n"/>
      <c r="B53" s="3" t="n"/>
      <c r="C53" s="3" t="n"/>
      <c r="D53" s="3" t="n"/>
      <c r="E53" s="3" t="n"/>
      <c r="F53" s="3" t="n"/>
      <c r="G53" s="3" t="n"/>
      <c r="H53" s="3" t="n"/>
      <c r="I53" s="3" t="n"/>
      <c r="J53" s="3" t="n"/>
      <c r="K53" s="3" t="n"/>
      <c r="L53" s="3" t="n"/>
      <c r="M53" s="3" t="n"/>
      <c r="N53" s="3" t="n"/>
    </row>
    <row hidden="false" ht="15.75" outlineLevel="0" r="54">
      <c r="A54" s="519" t="n"/>
      <c r="B54" s="519" t="s"/>
      <c r="C54" s="519" t="s"/>
      <c r="D54" s="519" t="s"/>
      <c r="E54" s="519" t="s"/>
      <c r="F54" s="519" t="s"/>
      <c r="G54" s="519" t="s"/>
      <c r="H54" s="519" t="s"/>
      <c r="I54" s="519" t="s"/>
      <c r="J54" s="519" t="s"/>
      <c r="K54" s="519" t="s"/>
      <c r="L54" s="3" t="n"/>
      <c r="M54" s="3" t="n"/>
      <c r="N54" s="3" t="n"/>
    </row>
    <row hidden="false" ht="15.75" outlineLevel="0" r="55">
      <c r="A55" s="3" t="n"/>
      <c r="B55" s="3" t="n"/>
      <c r="C55" s="3" t="n"/>
      <c r="D55" s="2589" t="n"/>
      <c r="E55" s="3" t="n"/>
      <c r="F55" s="3" t="n"/>
      <c r="G55" s="3" t="n"/>
      <c r="H55" s="3" t="n"/>
      <c r="I55" s="3" t="n"/>
      <c r="J55" s="3" t="n"/>
      <c r="K55" s="3" t="n"/>
      <c r="L55" s="3" t="n"/>
      <c r="M55" s="3" t="n"/>
      <c r="N55" s="3" t="n"/>
    </row>
    <row hidden="false" ht="15.75" outlineLevel="0" r="56">
      <c r="A56" s="519" t="n"/>
      <c r="B56" s="519" t="s"/>
      <c r="C56" s="519" t="s"/>
      <c r="D56" s="519" t="s"/>
      <c r="E56" s="519" t="s"/>
      <c r="F56" s="519" t="s"/>
      <c r="G56" s="519" t="s"/>
      <c r="H56" s="519" t="s"/>
      <c r="I56" s="519" t="s"/>
      <c r="J56" s="519" t="s"/>
      <c r="K56" s="519" t="s"/>
      <c r="L56" s="3" t="n"/>
      <c r="M56" s="3" t="n"/>
      <c r="N56" s="3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89">
    <mergeCell ref="I3:O3"/>
    <mergeCell ref="A5:N5"/>
    <mergeCell ref="I8:K8"/>
    <mergeCell ref="L8:N8"/>
    <mergeCell ref="B8:C8"/>
    <mergeCell ref="D8:F8"/>
    <mergeCell ref="G8:H8"/>
    <mergeCell ref="G9:H9"/>
    <mergeCell ref="D9:F9"/>
    <mergeCell ref="B9:C9"/>
    <mergeCell ref="I9:K9"/>
    <mergeCell ref="L9:N9"/>
    <mergeCell ref="B10:C10"/>
    <mergeCell ref="D10:F10"/>
    <mergeCell ref="B11:C11"/>
    <mergeCell ref="D11:F11"/>
    <mergeCell ref="G10:H10"/>
    <mergeCell ref="I10:K10"/>
    <mergeCell ref="L10:N10"/>
    <mergeCell ref="G11:H11"/>
    <mergeCell ref="I11:K11"/>
    <mergeCell ref="L11:N11"/>
    <mergeCell ref="B13:F13"/>
    <mergeCell ref="B14:C14"/>
    <mergeCell ref="D14:F14"/>
    <mergeCell ref="I13:K13"/>
    <mergeCell ref="L13:N13"/>
    <mergeCell ref="G14:H14"/>
    <mergeCell ref="I14:K14"/>
    <mergeCell ref="L14:N14"/>
    <mergeCell ref="B15:C15"/>
    <mergeCell ref="D15:F15"/>
    <mergeCell ref="B16:C16"/>
    <mergeCell ref="D16:F16"/>
    <mergeCell ref="G15:H15"/>
    <mergeCell ref="G16:H16"/>
    <mergeCell ref="I15:K15"/>
    <mergeCell ref="I16:K16"/>
    <mergeCell ref="L15:N15"/>
    <mergeCell ref="L16:N16"/>
    <mergeCell ref="G17:H17"/>
    <mergeCell ref="I17:K17"/>
    <mergeCell ref="L17:N17"/>
    <mergeCell ref="B17:C17"/>
    <mergeCell ref="D17:F17"/>
    <mergeCell ref="D20:F20"/>
    <mergeCell ref="B20:C20"/>
    <mergeCell ref="B21:C21"/>
    <mergeCell ref="D21:F21"/>
    <mergeCell ref="D22:F22"/>
    <mergeCell ref="B22:C22"/>
    <mergeCell ref="D23:F23"/>
    <mergeCell ref="B23:C23"/>
    <mergeCell ref="M21:N21"/>
    <mergeCell ref="J21:L21"/>
    <mergeCell ref="M20:N20"/>
    <mergeCell ref="J20:L20"/>
    <mergeCell ref="H20:I20"/>
    <mergeCell ref="M22:N22"/>
    <mergeCell ref="H21:I21"/>
    <mergeCell ref="J22:L22"/>
    <mergeCell ref="H22:I22"/>
    <mergeCell ref="M23:N23"/>
    <mergeCell ref="J23:L23"/>
    <mergeCell ref="H23:I23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44:J44"/>
    <mergeCell ref="B43:J43"/>
    <mergeCell ref="B42:J42"/>
    <mergeCell ref="A40:K40"/>
    <mergeCell ref="B41:J41"/>
    <mergeCell ref="B45:J45"/>
    <mergeCell ref="B46:J46"/>
    <mergeCell ref="B47:J47"/>
    <mergeCell ref="B48:J48"/>
    <mergeCell ref="A54:K54"/>
    <mergeCell ref="A56:K56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1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O57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" min="1" outlineLevel="0" style="398" width="6.04738649245257"/>
    <col customWidth="true" hidden="false" max="3" min="3" outlineLevel="0" style="398" width="15.074072288431"/>
    <col customWidth="true" hidden="false" max="11" min="11" outlineLevel="0" style="398" width="14.9260938327593"/>
    <col customWidth="true" hidden="false" max="13" min="13" outlineLevel="0" style="398" width="12.5288425802106"/>
  </cols>
  <sheetData>
    <row hidden="false" ht="15" outlineLevel="0" r="1">
      <c r="A1" s="93" t="n"/>
      <c r="B1" s="1524" t="n"/>
      <c r="C1" s="1524" t="s"/>
      <c r="D1" s="1524" t="s"/>
      <c r="E1" s="1524" t="s"/>
      <c r="F1" s="1524" t="s"/>
      <c r="G1" s="1524" t="s"/>
      <c r="H1" s="1524" t="s"/>
      <c r="I1" s="1524" t="s"/>
      <c r="J1" s="1524" t="s"/>
      <c r="K1" s="1524" t="s"/>
      <c r="L1" s="1524" t="s"/>
      <c r="M1" s="1524" t="s"/>
      <c r="N1" s="1524" t="s"/>
    </row>
    <row hidden="false" ht="15.75" outlineLevel="0" r="2">
      <c r="A2" s="93" t="n"/>
      <c r="B2" s="1524" t="n"/>
      <c r="C2" s="1524" t="n"/>
      <c r="D2" s="1524" t="n"/>
      <c r="E2" s="1524" t="n"/>
      <c r="F2" s="1524" t="n"/>
      <c r="G2" s="1524" t="n"/>
      <c r="H2" s="1524" t="n"/>
      <c r="I2" s="101" t="s">
        <v>175</v>
      </c>
      <c r="J2" s="101" t="n"/>
      <c r="K2" s="4" t="n"/>
      <c r="L2" s="104" t="n"/>
      <c r="M2" s="104" t="n"/>
      <c r="N2" s="104" t="n"/>
      <c r="O2" s="104" t="n"/>
    </row>
    <row hidden="false" ht="15.75" outlineLevel="0" r="3">
      <c r="A3" s="93" t="n"/>
      <c r="B3" s="1524" t="n"/>
      <c r="C3" s="1524" t="n"/>
      <c r="D3" s="1524" t="n"/>
      <c r="E3" s="1524" t="n"/>
      <c r="F3" s="1524" t="n"/>
      <c r="G3" s="1524" t="n"/>
      <c r="H3" s="1524" t="n"/>
      <c r="I3" s="105" t="s">
        <v>176</v>
      </c>
      <c r="J3" s="4" t="n"/>
      <c r="K3" s="4" t="n"/>
      <c r="L3" s="4" t="n"/>
      <c r="M3" s="4" t="n"/>
      <c r="N3" s="4" t="n"/>
      <c r="O3" s="4" t="n"/>
    </row>
    <row hidden="false" ht="15.75" outlineLevel="0" r="4">
      <c r="A4" s="93" t="n"/>
      <c r="B4" s="1524" t="n"/>
      <c r="C4" s="1524" t="n"/>
      <c r="D4" s="1524" t="n"/>
      <c r="E4" s="1524" t="n"/>
      <c r="F4" s="1524" t="n"/>
      <c r="G4" s="1524" t="n"/>
      <c r="H4" s="1524" t="n"/>
      <c r="I4" s="101" t="s">
        <v>226</v>
      </c>
      <c r="J4" s="101" t="s"/>
      <c r="K4" s="101" t="s"/>
      <c r="L4" s="101" t="s"/>
      <c r="M4" s="101" t="s"/>
      <c r="N4" s="101" t="s"/>
      <c r="O4" s="101" t="s"/>
    </row>
    <row hidden="false" ht="15.75" outlineLevel="0" r="5">
      <c r="A5" s="93" t="n"/>
      <c r="B5" s="1524" t="n"/>
      <c r="C5" s="1524" t="n"/>
      <c r="D5" s="1524" t="n"/>
      <c r="E5" s="1524" t="n"/>
      <c r="F5" s="1524" t="n"/>
      <c r="G5" s="1524" t="n"/>
      <c r="H5" s="1524" t="n"/>
      <c r="I5" s="105" t="s">
        <v>178</v>
      </c>
      <c r="J5" s="105" t="n"/>
      <c r="K5" s="4" t="n"/>
      <c r="L5" s="4" t="n"/>
      <c r="M5" s="4" t="n"/>
      <c r="N5" s="4" t="n"/>
      <c r="O5" s="4" t="n"/>
    </row>
    <row customHeight="true" hidden="false" ht="52.5" outlineLevel="0" r="6">
      <c r="A6" s="115" t="s">
        <v>283</v>
      </c>
      <c r="B6" s="115" t="s"/>
      <c r="C6" s="115" t="s"/>
      <c r="D6" s="115" t="s"/>
      <c r="E6" s="115" t="s"/>
      <c r="F6" s="115" t="s"/>
      <c r="G6" s="115" t="s"/>
      <c r="H6" s="115" t="s"/>
      <c r="I6" s="115" t="s"/>
      <c r="J6" s="115" t="s"/>
      <c r="K6" s="115" t="s"/>
      <c r="L6" s="115" t="s"/>
      <c r="M6" s="115" t="s"/>
      <c r="N6" s="115" t="s"/>
    </row>
    <row customHeight="true" hidden="false" ht="18" outlineLevel="0" r="7">
      <c r="A7" s="115" t="n"/>
      <c r="B7" s="115" t="n"/>
      <c r="C7" s="115" t="n"/>
      <c r="D7" s="115" t="n"/>
      <c r="E7" s="115" t="n"/>
      <c r="F7" s="115" t="n"/>
      <c r="G7" s="115" t="n"/>
      <c r="H7" s="115" t="n"/>
      <c r="I7" s="115" t="n"/>
      <c r="J7" s="115" t="n"/>
      <c r="K7" s="115" t="n"/>
      <c r="L7" s="115" t="n"/>
      <c r="M7" s="115" t="n"/>
      <c r="N7" s="115" t="n"/>
    </row>
    <row hidden="false" ht="15.75" outlineLevel="0" r="8">
      <c r="A8" s="4" t="n"/>
      <c r="B8" s="101" t="s">
        <v>232</v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</row>
    <row customHeight="true" hidden="false" ht="73.5" outlineLevel="0" r="9">
      <c r="A9" s="17" t="n"/>
      <c r="B9" s="129" t="s">
        <v>184</v>
      </c>
      <c r="C9" s="2882" t="s"/>
      <c r="D9" s="129" t="s">
        <v>233</v>
      </c>
      <c r="E9" s="2883" t="s"/>
      <c r="F9" s="2884" t="s"/>
      <c r="G9" s="129" t="s">
        <v>186</v>
      </c>
      <c r="H9" s="2885" t="s"/>
      <c r="I9" s="129" t="s">
        <v>187</v>
      </c>
      <c r="J9" s="2886" t="s"/>
      <c r="K9" s="2887" t="s"/>
      <c r="L9" s="129" t="s">
        <v>188</v>
      </c>
      <c r="M9" s="2888" t="s"/>
      <c r="N9" s="2889" t="s"/>
    </row>
    <row customHeight="true" hidden="false" ht="15.75" outlineLevel="0" r="10">
      <c r="A10" s="17" t="n">
        <v>1</v>
      </c>
      <c r="B10" s="144" t="s">
        <v>189</v>
      </c>
      <c r="C10" s="2894" t="s"/>
      <c r="D10" s="153" t="n">
        <f aca="false" ca="false" dt2D="false" dtr="false" t="normal">68227*1.302</f>
        <v>88831.554</v>
      </c>
      <c r="E10" s="2899" t="s"/>
      <c r="F10" s="2900" t="s"/>
      <c r="G10" s="159" t="n">
        <v>9600</v>
      </c>
      <c r="H10" s="2901" t="s"/>
      <c r="I10" s="159" t="n">
        <f aca="false" ca="false" dt2D="false" dtr="false" t="normal">SUM(60*33)</f>
        <v>1980</v>
      </c>
      <c r="J10" s="2902" t="s"/>
      <c r="K10" s="2903" t="s"/>
      <c r="L10" s="153" t="n">
        <f aca="false" ca="false" dt2D="false" dtr="false" t="normal">D10/G10*I10</f>
        <v>18321.508012500002</v>
      </c>
      <c r="M10" s="2912" t="s"/>
      <c r="N10" s="2913" t="s"/>
    </row>
    <row customHeight="true" hidden="false" ht="15.75" outlineLevel="0" r="11">
      <c r="A11" s="17" t="n">
        <v>2</v>
      </c>
      <c r="B11" s="144" t="s">
        <v>237</v>
      </c>
      <c r="C11" s="2914" t="s"/>
      <c r="D11" s="153" t="n">
        <f aca="false" ca="false" dt2D="false" dtr="false" t="normal">98188.2*1.302</f>
        <v>127841.0364</v>
      </c>
      <c r="E11" s="2921" t="s"/>
      <c r="F11" s="2922" t="s"/>
      <c r="G11" s="159" t="n">
        <v>9600</v>
      </c>
      <c r="H11" s="2925" t="s"/>
      <c r="I11" s="159" t="n">
        <f aca="false" ca="false" dt2D="false" dtr="false" t="normal">60*1</f>
        <v>60</v>
      </c>
      <c r="J11" s="2926" t="s"/>
      <c r="K11" s="2927" t="s"/>
      <c r="L11" s="153" t="n">
        <f aca="false" ca="false" dt2D="false" dtr="false" t="normal">D11/G11*I11</f>
        <v>799.0064775</v>
      </c>
      <c r="M11" s="2929" t="s"/>
      <c r="N11" s="2931" t="s"/>
    </row>
    <row customHeight="true" hidden="false" ht="15.75" outlineLevel="0" r="12">
      <c r="A12" s="17" t="n"/>
      <c r="B12" s="144" t="s">
        <v>183</v>
      </c>
      <c r="C12" s="2938" t="s"/>
      <c r="D12" s="153" t="n">
        <f aca="false" ca="false" dt2D="false" dtr="false" t="normal">SUM(D10:F11)</f>
        <v>216672.5904</v>
      </c>
      <c r="E12" s="2939" t="s"/>
      <c r="F12" s="2940" t="s"/>
      <c r="G12" s="159" t="n">
        <v>1650</v>
      </c>
      <c r="H12" s="2941" t="s"/>
      <c r="I12" s="159" t="n">
        <f aca="false" ca="false" dt2D="false" dtr="false" t="normal">SUM(I10:K11)</f>
        <v>2040</v>
      </c>
      <c r="J12" s="2948" t="s"/>
      <c r="K12" s="2950" t="s"/>
      <c r="L12" s="630" t="n">
        <f aca="false" ca="false" dt2D="false" dtr="false" t="normal">SUM(L10:N11)</f>
        <v>19120.51449</v>
      </c>
      <c r="M12" s="2952" t="s"/>
      <c r="N12" s="2953" t="s"/>
    </row>
    <row hidden="false" ht="15.75" outlineLevel="0" r="13">
      <c r="A13" s="1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M13" s="3" t="n"/>
      <c r="N13" s="3" t="n"/>
    </row>
    <row customHeight="true" hidden="false" ht="15.75" outlineLevel="0" r="14">
      <c r="A14" s="1" t="n"/>
      <c r="B14" s="2429" t="s">
        <v>198</v>
      </c>
      <c r="C14" s="2962" t="s"/>
      <c r="D14" s="2963" t="s"/>
      <c r="E14" s="2964" t="s"/>
      <c r="F14" s="2965" t="s"/>
      <c r="G14" s="265" t="n"/>
      <c r="H14" s="265" t="n"/>
      <c r="I14" s="265" t="n"/>
      <c r="J14" s="265" t="s"/>
      <c r="K14" s="265" t="s"/>
      <c r="L14" s="2434" t="n"/>
      <c r="M14" s="2968" t="s"/>
      <c r="N14" s="2970" t="s"/>
    </row>
    <row customHeight="true" hidden="false" ht="57" outlineLevel="0" r="15">
      <c r="A15" s="20" t="n"/>
      <c r="B15" s="129" t="s">
        <v>200</v>
      </c>
      <c r="C15" s="2976" t="s"/>
      <c r="D15" s="129" t="s">
        <v>201</v>
      </c>
      <c r="E15" s="2977" t="s"/>
      <c r="F15" s="2978" t="s"/>
      <c r="G15" s="129" t="s">
        <v>202</v>
      </c>
      <c r="H15" s="2979" t="s"/>
      <c r="I15" s="129" t="s">
        <v>203</v>
      </c>
      <c r="J15" s="2980" t="s"/>
      <c r="K15" s="2981" t="s"/>
      <c r="L15" s="129" t="s">
        <v>204</v>
      </c>
      <c r="M15" s="2982" t="s"/>
      <c r="N15" s="2983" t="s"/>
    </row>
    <row customHeight="true" hidden="false" ht="15.75" outlineLevel="0" r="16">
      <c r="A16" s="17" t="n">
        <v>1</v>
      </c>
      <c r="B16" s="144" t="s">
        <v>205</v>
      </c>
      <c r="C16" s="2984" t="s"/>
      <c r="D16" s="159" t="s">
        <v>207</v>
      </c>
      <c r="E16" s="2988" t="s"/>
      <c r="F16" s="2990" t="s"/>
      <c r="G16" s="159" t="n">
        <v>10</v>
      </c>
      <c r="H16" s="2994" t="s"/>
      <c r="I16" s="159" t="n">
        <f aca="false" ca="false" dt2D="false" dtr="false" t="normal">587/500</f>
        <v>1.174</v>
      </c>
      <c r="J16" s="2996" t="s"/>
      <c r="K16" s="2997" t="s"/>
      <c r="L16" s="159" t="n">
        <f aca="false" ca="false" dt2D="false" dtr="false" t="normal">G16*I16</f>
        <v>11.739999999999998</v>
      </c>
      <c r="M16" s="2998" t="s"/>
      <c r="N16" s="3000" t="s"/>
    </row>
    <row customHeight="true" hidden="false" ht="15.75" outlineLevel="0" r="17">
      <c r="A17" s="17" t="n">
        <v>2</v>
      </c>
      <c r="B17" s="144" t="s">
        <v>209</v>
      </c>
      <c r="C17" s="3008" t="s"/>
      <c r="D17" s="159" t="s">
        <v>210</v>
      </c>
      <c r="E17" s="3009" t="s"/>
      <c r="F17" s="3010" t="s"/>
      <c r="G17" s="159" t="n">
        <v>0.078</v>
      </c>
      <c r="H17" s="3011" t="s"/>
      <c r="I17" s="159" t="n">
        <v>1250</v>
      </c>
      <c r="J17" s="3012" t="s"/>
      <c r="K17" s="3013" t="s"/>
      <c r="L17" s="159" t="n">
        <f aca="false" ca="false" dt2D="false" dtr="false" t="normal">G17*I17</f>
        <v>97.5</v>
      </c>
      <c r="M17" s="3014" t="s"/>
      <c r="N17" s="3015" t="s"/>
    </row>
    <row customHeight="true" hidden="false" ht="15.75" outlineLevel="0" r="18">
      <c r="A18" s="17" t="n"/>
      <c r="B18" s="159" t="n"/>
      <c r="C18" s="3016" t="s"/>
      <c r="D18" s="159" t="n"/>
      <c r="E18" s="3017" t="s"/>
      <c r="F18" s="3018" t="s"/>
      <c r="G18" s="159" t="n"/>
      <c r="H18" s="3019" t="s"/>
      <c r="I18" s="159" t="n"/>
      <c r="J18" s="3020" t="s"/>
      <c r="K18" s="3021" t="s"/>
      <c r="L18" s="2418" t="n">
        <f aca="false" ca="false" dt2D="false" dtr="false" t="normal">SUM(L16:N17)</f>
        <v>109.24</v>
      </c>
      <c r="M18" s="3028" t="s"/>
      <c r="N18" s="3031" t="s"/>
    </row>
    <row hidden="false" ht="15.75" outlineLevel="0" r="19">
      <c r="A19" s="1" t="n"/>
      <c r="B19" s="265" t="n"/>
      <c r="C19" s="265" t="n"/>
      <c r="D19" s="265" t="n"/>
      <c r="E19" s="265" t="n"/>
      <c r="F19" s="265" t="n"/>
      <c r="G19" s="265" t="n"/>
      <c r="H19" s="265" t="n"/>
      <c r="I19" s="265" t="n"/>
      <c r="J19" s="265" t="n"/>
      <c r="K19" s="265" t="n"/>
      <c r="L19" s="2510" t="n"/>
      <c r="M19" s="2510" t="n"/>
      <c r="N19" s="2510" t="n"/>
    </row>
    <row hidden="false" ht="15.75" outlineLevel="0" r="20">
      <c r="A20" s="1" t="n"/>
      <c r="B20" s="5" t="s">
        <v>212</v>
      </c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  <c r="M20" s="3" t="n"/>
      <c r="N20" s="3" t="n"/>
    </row>
    <row customHeight="true" hidden="false" ht="63" outlineLevel="0" r="21">
      <c r="A21" s="17" t="n"/>
      <c r="B21" s="129" t="s">
        <v>213</v>
      </c>
      <c r="C21" s="3042" t="s"/>
      <c r="D21" s="129" t="s">
        <v>214</v>
      </c>
      <c r="E21" s="3045" t="s"/>
      <c r="F21" s="3049" t="s"/>
      <c r="G21" s="259" t="s">
        <v>215</v>
      </c>
      <c r="H21" s="169" t="s">
        <v>216</v>
      </c>
      <c r="I21" s="3051" t="s"/>
      <c r="J21" s="129" t="s">
        <v>217</v>
      </c>
      <c r="K21" s="3052" t="s"/>
      <c r="L21" s="3053" t="s"/>
      <c r="M21" s="129" t="s">
        <v>218</v>
      </c>
      <c r="N21" s="3054" t="s"/>
    </row>
    <row customHeight="true" hidden="false" ht="15.75" outlineLevel="0" r="22">
      <c r="A22" s="17" t="n">
        <v>1</v>
      </c>
      <c r="B22" s="144" t="s">
        <v>173</v>
      </c>
      <c r="C22" s="3061" t="s"/>
      <c r="D22" s="159" t="n">
        <v>70000</v>
      </c>
      <c r="E22" s="3064" t="s"/>
      <c r="F22" s="3065" t="s"/>
      <c r="G22" s="2546" t="n">
        <v>0.3</v>
      </c>
      <c r="H22" s="44" t="s">
        <v>174</v>
      </c>
      <c r="I22" s="3066" t="s"/>
      <c r="J22" s="159" t="n">
        <v>29</v>
      </c>
      <c r="K22" s="3067" t="s"/>
      <c r="L22" s="3068" t="s"/>
      <c r="M22" s="164" t="n">
        <f aca="false" ca="false" dt2D="false" dtr="false" t="normal">D22*G22/H22*J22</f>
        <v>380.625</v>
      </c>
      <c r="N22" s="3075" t="s"/>
    </row>
    <row customHeight="true" hidden="false" ht="15.75" outlineLevel="0" r="23">
      <c r="A23" s="17" t="n">
        <v>2</v>
      </c>
      <c r="B23" s="144" t="s">
        <v>179</v>
      </c>
      <c r="C23" s="3078" t="s"/>
      <c r="D23" s="159" t="n">
        <v>17856</v>
      </c>
      <c r="E23" s="3079" t="s"/>
      <c r="F23" s="3080" t="s"/>
      <c r="G23" s="2546" t="n">
        <v>0.3</v>
      </c>
      <c r="H23" s="44" t="s">
        <v>174</v>
      </c>
      <c r="I23" s="3083" t="s"/>
      <c r="J23" s="159" t="n">
        <v>0.5</v>
      </c>
      <c r="K23" s="3089" t="s"/>
      <c r="L23" s="3091" t="s"/>
      <c r="M23" s="164" t="n">
        <f aca="false" ca="false" dt2D="false" dtr="false" t="normal">D23*G23/H23*J23</f>
        <v>1.6740000000000002</v>
      </c>
      <c r="N23" s="3092" t="s"/>
    </row>
    <row hidden="false" ht="15.75" outlineLevel="0" r="24">
      <c r="A24" s="17" t="n"/>
      <c r="B24" s="159" t="n"/>
      <c r="C24" s="3094" t="s"/>
      <c r="D24" s="159" t="n"/>
      <c r="E24" s="3097" t="s"/>
      <c r="F24" s="3100" t="s"/>
      <c r="G24" s="2546" t="n"/>
      <c r="H24" s="44" t="n"/>
      <c r="I24" s="3104" t="s"/>
      <c r="J24" s="159" t="n"/>
      <c r="K24" s="3105" t="s"/>
      <c r="L24" s="3106" t="s"/>
      <c r="M24" s="630" t="n">
        <f aca="false" ca="false" dt2D="false" dtr="false" t="normal">SUM(M22:N23)</f>
        <v>382.299</v>
      </c>
      <c r="N24" s="3107" t="s"/>
    </row>
    <row hidden="false" ht="15.75" outlineLevel="0" r="25">
      <c r="A25" s="1" t="n"/>
      <c r="B25" s="3" t="n"/>
      <c r="C25" s="3" t="n"/>
      <c r="D25" s="3" t="n"/>
      <c r="E25" s="3" t="n"/>
      <c r="F25" s="3" t="n"/>
      <c r="G25" s="3" t="n"/>
      <c r="H25" s="3" t="n"/>
      <c r="I25" s="2588" t="n"/>
      <c r="J25" s="265" t="n"/>
      <c r="K25" s="265" t="n"/>
      <c r="L25" s="3" t="n"/>
      <c r="M25" s="3" t="n"/>
      <c r="N25" s="3" t="n"/>
    </row>
    <row hidden="false" ht="15.75" outlineLevel="0" r="26">
      <c r="A26" s="1" t="n"/>
      <c r="B26" s="264" t="s">
        <v>219</v>
      </c>
      <c r="C26" s="265" t="n"/>
      <c r="D26" s="265" t="n"/>
      <c r="E26" s="265" t="n"/>
      <c r="F26" s="265" t="n"/>
      <c r="G26" s="265" t="n"/>
      <c r="H26" s="265" t="n"/>
      <c r="I26" s="265" t="n"/>
      <c r="J26" s="3" t="n"/>
      <c r="K26" s="3" t="n"/>
      <c r="L26" s="3" t="n"/>
      <c r="M26" s="3" t="n"/>
      <c r="N26" s="3" t="n"/>
    </row>
    <row customHeight="true" hidden="false" ht="15.75" outlineLevel="0" r="27">
      <c r="A27" s="20" t="n"/>
      <c r="B27" s="266" t="s">
        <v>220</v>
      </c>
      <c r="C27" s="3116" t="s"/>
      <c r="D27" s="3117" t="s"/>
      <c r="E27" s="3118" t="s"/>
      <c r="F27" s="3119" t="s"/>
      <c r="G27" s="3120" t="s"/>
      <c r="H27" s="3121" t="s"/>
      <c r="I27" s="3122" t="s"/>
      <c r="J27" s="3123" t="s"/>
      <c r="K27" s="275" t="s">
        <v>221</v>
      </c>
      <c r="L27" s="3" t="n"/>
      <c r="M27" s="3" t="n"/>
      <c r="N27" s="3" t="n"/>
    </row>
    <row customHeight="true" hidden="false" ht="15.75" outlineLevel="0" r="28">
      <c r="A28" s="17" t="n">
        <v>1</v>
      </c>
      <c r="B28" s="276" t="s">
        <v>222</v>
      </c>
      <c r="C28" s="3124" t="s"/>
      <c r="D28" s="3125" t="s"/>
      <c r="E28" s="3126" t="s"/>
      <c r="F28" s="3127" t="s"/>
      <c r="G28" s="3128" t="s"/>
      <c r="H28" s="3129" t="s"/>
      <c r="I28" s="3130" t="s"/>
      <c r="J28" s="3131" t="s"/>
      <c r="K28" s="285" t="n">
        <f aca="false" ca="false" dt2D="false" dtr="false" t="normal">SUM(K29:K30)</f>
        <v>102005.23762063854</v>
      </c>
      <c r="L28" s="3" t="n"/>
      <c r="M28" s="3" t="n"/>
      <c r="N28" s="3" t="n"/>
    </row>
    <row customHeight="true" hidden="false" ht="34.5" outlineLevel="0" r="29">
      <c r="A29" s="17" t="n"/>
      <c r="B29" s="144" t="s">
        <v>223</v>
      </c>
      <c r="C29" s="2866" t="s"/>
      <c r="D29" s="2867" t="s"/>
      <c r="E29" s="2868" t="s"/>
      <c r="F29" s="2869" t="s"/>
      <c r="G29" s="2870" t="s"/>
      <c r="H29" s="2871" t="s"/>
      <c r="I29" s="2872" t="s"/>
      <c r="J29" s="2873" t="s"/>
      <c r="K29" s="285" t="n">
        <f aca="false" ca="false" dt2D="false" dtr="false" t="normal">(15990207-D12)*1.302/218</f>
        <v>94207.07248302386</v>
      </c>
      <c r="L29" s="3" t="n"/>
      <c r="M29" s="3" t="n"/>
      <c r="N29" s="3" t="n"/>
    </row>
    <row customHeight="true" hidden="false" ht="36.75" outlineLevel="0" r="30">
      <c r="A30" s="17" t="n"/>
      <c r="B30" s="144" t="s">
        <v>224</v>
      </c>
      <c r="C30" s="2874" t="s"/>
      <c r="D30" s="2875" t="s"/>
      <c r="E30" s="2876" t="s"/>
      <c r="F30" s="2877" t="s"/>
      <c r="G30" s="2878" t="s"/>
      <c r="H30" s="2879" t="s"/>
      <c r="I30" s="2880" t="s"/>
      <c r="J30" s="2881" t="s"/>
      <c r="K30" s="285" t="n">
        <f aca="false" ca="false" dt2D="false" dtr="false" t="normal">(200000+1500000)/218</f>
        <v>7798.165137614679</v>
      </c>
      <c r="L30" s="3" t="n"/>
      <c r="M30" s="3" t="n"/>
      <c r="N30" s="3" t="n"/>
    </row>
    <row customHeight="true" hidden="false" ht="15.75" outlineLevel="0" r="31">
      <c r="A31" s="17" t="n">
        <v>2</v>
      </c>
      <c r="B31" s="144" t="s">
        <v>225</v>
      </c>
      <c r="C31" s="2890" t="s"/>
      <c r="D31" s="2891" t="s"/>
      <c r="E31" s="2892" t="s"/>
      <c r="F31" s="2893" t="s"/>
      <c r="G31" s="2895" t="s"/>
      <c r="H31" s="2896" t="s"/>
      <c r="I31" s="2897" t="s"/>
      <c r="J31" s="2898" t="s"/>
      <c r="K31" s="285" t="n">
        <f aca="false" ca="false" dt2D="false" dtr="false" t="normal">SUM(K32:K33)</f>
        <v>68104.96788990825</v>
      </c>
      <c r="L31" s="3" t="n"/>
      <c r="M31" s="3" t="n"/>
      <c r="N31" s="3" t="n"/>
    </row>
    <row customHeight="true" hidden="false" ht="15.75" outlineLevel="0" r="32">
      <c r="A32" s="17" t="n"/>
      <c r="B32" s="310" t="s">
        <v>227</v>
      </c>
      <c r="C32" s="2904" t="s"/>
      <c r="D32" s="2905" t="s"/>
      <c r="E32" s="2906" t="s"/>
      <c r="F32" s="2907" t="s"/>
      <c r="G32" s="2908" t="s"/>
      <c r="H32" s="2909" t="s"/>
      <c r="I32" s="2910" t="s"/>
      <c r="J32" s="2911" t="s"/>
      <c r="K32" s="285" t="n">
        <f aca="false" ca="false" dt2D="false" dtr="false" t="normal">2000000/218</f>
        <v>9174.311926605504</v>
      </c>
      <c r="L32" s="3" t="n"/>
      <c r="M32" s="3" t="n"/>
      <c r="N32" s="3" t="n"/>
    </row>
    <row customHeight="true" hidden="false" ht="15.75" outlineLevel="0" r="33">
      <c r="A33" s="17" t="n"/>
      <c r="B33" s="310" t="s">
        <v>228</v>
      </c>
      <c r="C33" s="2915" t="s"/>
      <c r="D33" s="2916" t="s"/>
      <c r="E33" s="2917" t="s"/>
      <c r="F33" s="2918" t="s"/>
      <c r="G33" s="2919" t="s"/>
      <c r="H33" s="2920" t="s"/>
      <c r="I33" s="2923" t="s"/>
      <c r="J33" s="2924" t="s"/>
      <c r="K33" s="285" t="n">
        <f aca="false" ca="false" dt2D="false" dtr="false" t="normal">(8246883+3800000+800000)/218</f>
        <v>58930.65596330275</v>
      </c>
      <c r="L33" s="3" t="n"/>
      <c r="M33" s="3" t="n"/>
      <c r="N33" s="3" t="n"/>
    </row>
    <row customHeight="true" hidden="false" ht="28.5" outlineLevel="0" r="34">
      <c r="A34" s="17" t="n">
        <v>3</v>
      </c>
      <c r="B34" s="144" t="s">
        <v>230</v>
      </c>
      <c r="C34" s="2928" t="s"/>
      <c r="D34" s="2930" t="s"/>
      <c r="E34" s="2932" t="s"/>
      <c r="F34" s="2933" t="s"/>
      <c r="G34" s="2934" t="s"/>
      <c r="H34" s="2935" t="s"/>
      <c r="I34" s="2936" t="s"/>
      <c r="J34" s="2937" t="s"/>
      <c r="K34" s="285" t="n">
        <f aca="false" ca="false" dt2D="false" dtr="false" t="normal">M24</f>
        <v>382.299</v>
      </c>
      <c r="L34" s="3" t="n"/>
      <c r="M34" s="3" t="n"/>
      <c r="N34" s="3" t="n"/>
    </row>
    <row customHeight="true" hidden="false" ht="15.75" outlineLevel="0" r="35">
      <c r="A35" s="17" t="n"/>
      <c r="B35" s="276" t="s">
        <v>183</v>
      </c>
      <c r="C35" s="2942" t="s"/>
      <c r="D35" s="2943" t="s"/>
      <c r="E35" s="2944" t="s"/>
      <c r="F35" s="2945" t="s"/>
      <c r="G35" s="2946" t="s"/>
      <c r="H35" s="2947" t="s"/>
      <c r="I35" s="2949" t="s"/>
      <c r="J35" s="2951" t="s"/>
      <c r="K35" s="285" t="n">
        <f aca="false" ca="false" dt2D="false" dtr="false" t="normal">K31+K34</f>
        <v>68487.26688990825</v>
      </c>
      <c r="L35" s="3" t="n"/>
      <c r="M35" s="3" t="n"/>
      <c r="N35" s="3" t="n"/>
    </row>
    <row customHeight="true" hidden="false" ht="15.75" outlineLevel="0" r="36">
      <c r="A36" s="17" t="n">
        <v>4</v>
      </c>
      <c r="B36" s="144" t="s">
        <v>231</v>
      </c>
      <c r="C36" s="2954" t="s"/>
      <c r="D36" s="2955" t="s"/>
      <c r="E36" s="2956" t="s"/>
      <c r="F36" s="2957" t="s"/>
      <c r="G36" s="2958" t="s"/>
      <c r="H36" s="2959" t="s"/>
      <c r="I36" s="2960" t="s"/>
      <c r="J36" s="2961" t="s"/>
      <c r="K36" s="285" t="n">
        <f aca="false" ca="false" dt2D="false" dtr="false" t="normal">SUM(D12)</f>
        <v>216672.5904</v>
      </c>
      <c r="L36" s="3" t="n"/>
      <c r="M36" s="3" t="n"/>
      <c r="N36" s="3" t="n"/>
    </row>
    <row customHeight="true" hidden="false" ht="15.75" outlineLevel="0" r="37">
      <c r="A37" s="17" t="n">
        <v>5</v>
      </c>
      <c r="B37" s="276" t="s">
        <v>234</v>
      </c>
      <c r="C37" s="2966" t="s"/>
      <c r="D37" s="2967" t="s"/>
      <c r="E37" s="2969" t="s"/>
      <c r="F37" s="2971" t="s"/>
      <c r="G37" s="2972" t="s"/>
      <c r="H37" s="2973" t="s"/>
      <c r="I37" s="2974" t="s"/>
      <c r="J37" s="2975" t="s"/>
      <c r="K37" s="285" t="n">
        <f aca="false" ca="false" dt2D="false" dtr="false" t="normal">(K28+K31+K34)/K36</f>
        <v>0.7868669691713198</v>
      </c>
      <c r="L37" s="3" t="n"/>
      <c r="M37" s="3" t="n"/>
      <c r="N37" s="3" t="n"/>
    </row>
    <row customHeight="true" hidden="false" ht="15.75" outlineLevel="0" r="38">
      <c r="A38" s="17" t="n">
        <f aca="false" ca="false" dt2D="false" dtr="false" t="normal">SUM(A37+1)</f>
        <v>6</v>
      </c>
      <c r="B38" s="144" t="s">
        <v>235</v>
      </c>
      <c r="C38" s="2985" t="s"/>
      <c r="D38" s="2986" t="s"/>
      <c r="E38" s="2987" t="s"/>
      <c r="F38" s="2989" t="s"/>
      <c r="G38" s="2991" t="s"/>
      <c r="H38" s="2992" t="s"/>
      <c r="I38" s="2993" t="s"/>
      <c r="J38" s="2995" t="s"/>
      <c r="K38" s="285" t="n">
        <f aca="false" ca="false" dt2D="false" dtr="false" t="normal">L12</f>
        <v>19120.51449</v>
      </c>
      <c r="L38" s="3" t="n"/>
      <c r="M38" s="3" t="n"/>
      <c r="N38" s="3" t="n"/>
    </row>
    <row customHeight="true" hidden="false" ht="15.75" outlineLevel="0" r="39">
      <c r="A39" s="383" t="n"/>
      <c r="B39" s="276" t="s">
        <v>236</v>
      </c>
      <c r="C39" s="2999" t="s"/>
      <c r="D39" s="3001" t="s"/>
      <c r="E39" s="3002" t="s"/>
      <c r="F39" s="3003" t="s"/>
      <c r="G39" s="3004" t="s"/>
      <c r="H39" s="3005" t="s"/>
      <c r="I39" s="3006" t="s"/>
      <c r="J39" s="3007" t="s"/>
      <c r="K39" s="395" t="n">
        <f aca="false" ca="false" dt2D="false" dtr="false" t="normal">SUM(K38*K37)</f>
        <v>15045.301285742606</v>
      </c>
      <c r="L39" s="3" t="n"/>
      <c r="M39" s="2465" t="n"/>
      <c r="N39" s="3" t="n"/>
    </row>
    <row hidden="false" ht="15.75" outlineLevel="0" r="40">
      <c r="L40" s="3" t="n"/>
      <c r="M40" s="2465" t="n"/>
      <c r="N40" s="3" t="n"/>
    </row>
    <row customHeight="true" hidden="false" ht="66" outlineLevel="0" r="41">
      <c r="A41" s="403" t="s">
        <v>284</v>
      </c>
      <c r="B41" s="403" t="s"/>
      <c r="C41" s="403" t="s"/>
      <c r="D41" s="403" t="s"/>
      <c r="E41" s="403" t="s"/>
      <c r="F41" s="403" t="s"/>
      <c r="G41" s="403" t="s"/>
      <c r="H41" s="403" t="s"/>
      <c r="I41" s="403" t="s"/>
      <c r="J41" s="403" t="s"/>
      <c r="K41" s="403" t="s"/>
      <c r="L41" s="3" t="n"/>
      <c r="M41" s="2465" t="n"/>
      <c r="N41" s="3" t="n"/>
    </row>
    <row customHeight="true" hidden="false" ht="31.5" outlineLevel="0" r="42">
      <c r="A42" s="169" t="s">
        <v>239</v>
      </c>
      <c r="B42" s="169" t="s">
        <v>240</v>
      </c>
      <c r="C42" s="3022" t="s"/>
      <c r="D42" s="3023" t="s"/>
      <c r="E42" s="3024" t="s"/>
      <c r="F42" s="3025" t="s"/>
      <c r="G42" s="3026" t="s"/>
      <c r="H42" s="3027" t="s"/>
      <c r="I42" s="3029" t="s"/>
      <c r="J42" s="3030" t="s"/>
      <c r="K42" s="417" t="s">
        <v>241</v>
      </c>
      <c r="L42" s="3" t="n"/>
      <c r="M42" s="2465" t="n"/>
      <c r="N42" s="3" t="n"/>
    </row>
    <row customHeight="true" hidden="false" ht="15.75" outlineLevel="0" r="43">
      <c r="A43" s="67" t="n">
        <v>1</v>
      </c>
      <c r="B43" s="177" t="s">
        <v>242</v>
      </c>
      <c r="C43" s="3032" t="s"/>
      <c r="D43" s="3033" t="s"/>
      <c r="E43" s="3034" t="s"/>
      <c r="F43" s="3035" t="s"/>
      <c r="G43" s="3036" t="s"/>
      <c r="H43" s="3037" t="s"/>
      <c r="I43" s="3038" t="s"/>
      <c r="J43" s="3039" t="s"/>
      <c r="K43" s="434" t="n">
        <f aca="false" ca="false" dt2D="false" dtr="false" t="normal">SUM(L12)</f>
        <v>19120.51449</v>
      </c>
      <c r="L43" s="3" t="n"/>
      <c r="M43" s="2465" t="n"/>
      <c r="N43" s="3" t="n"/>
    </row>
    <row customHeight="true" hidden="false" ht="15.75" outlineLevel="0" r="44">
      <c r="A44" s="67" t="n">
        <v>2</v>
      </c>
      <c r="B44" s="189" t="s">
        <v>243</v>
      </c>
      <c r="C44" s="3040" t="s"/>
      <c r="D44" s="3041" t="s"/>
      <c r="E44" s="3043" t="s"/>
      <c r="F44" s="3044" t="s"/>
      <c r="G44" s="3046" t="s"/>
      <c r="H44" s="3047" t="s"/>
      <c r="I44" s="3048" t="s"/>
      <c r="J44" s="3050" t="s"/>
      <c r="K44" s="434" t="n">
        <f aca="false" ca="false" dt2D="false" dtr="false" t="normal">SUM(L18)</f>
        <v>109.24</v>
      </c>
      <c r="L44" s="3" t="n"/>
      <c r="M44" s="2465" t="n"/>
      <c r="N44" s="3" t="n"/>
    </row>
    <row customHeight="true" hidden="false" ht="30.75" outlineLevel="0" r="45">
      <c r="A45" s="67" t="n">
        <v>3</v>
      </c>
      <c r="B45" s="177" t="s">
        <v>244</v>
      </c>
      <c r="C45" s="3055" t="s"/>
      <c r="D45" s="3056" t="s"/>
      <c r="E45" s="3057" t="s"/>
      <c r="F45" s="3058" t="s"/>
      <c r="G45" s="3059" t="s"/>
      <c r="H45" s="3060" t="s"/>
      <c r="I45" s="3062" t="s"/>
      <c r="J45" s="3063" t="s"/>
      <c r="K45" s="2519" t="n">
        <f aca="false" ca="false" dt2D="false" dtr="false" t="normal">SUM(M24)/1000</f>
        <v>0.382299</v>
      </c>
      <c r="L45" s="3" t="n"/>
      <c r="M45" s="2465" t="n"/>
      <c r="N45" s="3" t="n"/>
    </row>
    <row customHeight="true" hidden="false" ht="15.75" outlineLevel="0" r="46">
      <c r="A46" s="67" t="n">
        <v>4</v>
      </c>
      <c r="B46" s="177" t="s">
        <v>245</v>
      </c>
      <c r="C46" s="3069" t="s"/>
      <c r="D46" s="3070" t="s"/>
      <c r="E46" s="3071" t="s"/>
      <c r="F46" s="3072" t="s"/>
      <c r="G46" s="3073" t="s"/>
      <c r="H46" s="3074" t="s"/>
      <c r="I46" s="3076" t="s"/>
      <c r="J46" s="3077" t="s"/>
      <c r="K46" s="434" t="n">
        <f aca="false" ca="false" dt2D="false" dtr="false" t="normal">SUM(K39)</f>
        <v>15045.301285742606</v>
      </c>
      <c r="L46" s="3" t="n"/>
      <c r="M46" s="2465" t="n"/>
      <c r="N46" s="3" t="n"/>
    </row>
    <row customHeight="true" hidden="false" ht="15.75" outlineLevel="0" r="47">
      <c r="A47" s="67" t="n">
        <v>5</v>
      </c>
      <c r="B47" s="189" t="s">
        <v>247</v>
      </c>
      <c r="C47" s="3081" t="s"/>
      <c r="D47" s="3082" t="s"/>
      <c r="E47" s="3084" t="s"/>
      <c r="F47" s="3085" t="s"/>
      <c r="G47" s="3086" t="s"/>
      <c r="H47" s="3087" t="s"/>
      <c r="I47" s="3088" t="s"/>
      <c r="J47" s="3090" t="s"/>
      <c r="K47" s="434" t="n">
        <f aca="false" ca="false" dt2D="false" dtr="false" t="normal">SUM(K43:K46)</f>
        <v>34275.43807474261</v>
      </c>
      <c r="L47" s="3" t="n"/>
      <c r="M47" s="2465" t="n"/>
      <c r="N47" s="3" t="n"/>
    </row>
    <row customHeight="true" hidden="false" ht="15.75" outlineLevel="0" r="48">
      <c r="A48" s="67" t="n">
        <v>6</v>
      </c>
      <c r="B48" s="189" t="s">
        <v>285</v>
      </c>
      <c r="C48" s="3093" t="s"/>
      <c r="D48" s="3095" t="s"/>
      <c r="E48" s="3096" t="s"/>
      <c r="F48" s="3098" t="s"/>
      <c r="G48" s="3099" t="s"/>
      <c r="H48" s="3101" t="s"/>
      <c r="I48" s="3102" t="s"/>
      <c r="J48" s="3103" t="s"/>
      <c r="K48" s="434" t="n">
        <f aca="false" ca="false" dt2D="false" dtr="false" t="normal">SUM(K47*0.22)</f>
        <v>7540.5963764433745</v>
      </c>
      <c r="L48" s="3" t="n"/>
      <c r="M48" s="2465" t="n"/>
      <c r="N48" s="3" t="n"/>
    </row>
    <row customHeight="true" hidden="false" ht="15.75" outlineLevel="0" r="49">
      <c r="A49" s="67" t="n"/>
      <c r="B49" s="177" t="s">
        <v>211</v>
      </c>
      <c r="C49" s="3108" t="s"/>
      <c r="D49" s="3109" t="s"/>
      <c r="E49" s="3110" t="s"/>
      <c r="F49" s="3111" t="s"/>
      <c r="G49" s="3112" t="s"/>
      <c r="H49" s="3113" t="s"/>
      <c r="I49" s="3114" t="s"/>
      <c r="J49" s="3115" t="s"/>
      <c r="K49" s="512" t="n">
        <f aca="false" ca="false" dt2D="false" dtr="false" t="normal">SUM(K47:K48)-16</f>
        <v>41800.03445118599</v>
      </c>
      <c r="L49" s="3" t="n"/>
      <c r="M49" s="2465" t="n"/>
      <c r="N49" s="3" t="n"/>
    </row>
    <row hidden="false" ht="15.75" outlineLevel="0"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  <c r="L50" s="3" t="n"/>
      <c r="M50" s="3" t="n"/>
      <c r="N50" s="3" t="n"/>
    </row>
    <row hidden="false" ht="15.75" outlineLevel="0"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3" t="n"/>
      <c r="M51" s="3" t="n"/>
      <c r="N51" s="3" t="n"/>
    </row>
    <row hidden="false" ht="15.75" outlineLevel="0"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  <c r="L52" s="3" t="n"/>
      <c r="M52" s="3" t="n"/>
      <c r="N52" s="3" t="n"/>
    </row>
    <row hidden="false" ht="15.75" outlineLevel="0" r="53">
      <c r="A53" s="3" t="n"/>
      <c r="B53" s="3" t="n"/>
      <c r="C53" s="3" t="n"/>
      <c r="D53" s="3" t="n"/>
      <c r="E53" s="3" t="n"/>
      <c r="F53" s="3" t="n"/>
      <c r="G53" s="3" t="n"/>
      <c r="H53" s="3" t="n"/>
      <c r="I53" s="3" t="n"/>
      <c r="J53" s="3" t="n"/>
      <c r="K53" s="3" t="n"/>
      <c r="L53" s="3" t="n"/>
      <c r="M53" s="3" t="n"/>
      <c r="N53" s="3" t="n"/>
    </row>
    <row hidden="false" ht="15.75" outlineLevel="0" r="54">
      <c r="A54" s="3" t="n"/>
      <c r="B54" s="3" t="n"/>
      <c r="C54" s="3" t="n"/>
      <c r="D54" s="3" t="n"/>
      <c r="E54" s="3" t="n"/>
      <c r="F54" s="3" t="n"/>
      <c r="G54" s="3" t="n"/>
      <c r="H54" s="3" t="n"/>
      <c r="I54" s="3" t="n"/>
      <c r="J54" s="3" t="n"/>
      <c r="K54" s="3" t="n"/>
      <c r="L54" s="3" t="n"/>
      <c r="M54" s="3" t="n"/>
      <c r="N54" s="3" t="n"/>
    </row>
    <row hidden="false" ht="15.75" outlineLevel="0" r="55">
      <c r="A55" s="519" t="n"/>
      <c r="B55" s="519" t="s"/>
      <c r="C55" s="519" t="s"/>
      <c r="D55" s="519" t="s"/>
      <c r="E55" s="519" t="s"/>
      <c r="F55" s="519" t="s"/>
      <c r="G55" s="519" t="s"/>
      <c r="H55" s="519" t="s"/>
      <c r="I55" s="519" t="s"/>
      <c r="J55" s="519" t="s"/>
      <c r="K55" s="519" t="s"/>
      <c r="L55" s="3" t="n"/>
      <c r="M55" s="3" t="n"/>
      <c r="N55" s="3" t="n"/>
    </row>
    <row hidden="false" ht="15.75" outlineLevel="0" r="56">
      <c r="A56" s="3" t="n"/>
      <c r="B56" s="3" t="n"/>
      <c r="C56" s="3" t="n"/>
      <c r="D56" s="2589" t="n"/>
      <c r="E56" s="3" t="n"/>
      <c r="F56" s="3" t="n"/>
      <c r="G56" s="3" t="n"/>
      <c r="H56" s="3" t="n"/>
      <c r="I56" s="3" t="n"/>
      <c r="J56" s="3" t="n"/>
      <c r="K56" s="3" t="n"/>
      <c r="L56" s="3" t="n"/>
      <c r="M56" s="3" t="n"/>
      <c r="N56" s="3" t="n"/>
    </row>
    <row hidden="false" ht="15.75" outlineLevel="0" r="57">
      <c r="A57" s="519" t="n"/>
      <c r="B57" s="519" t="s"/>
      <c r="C57" s="519" t="s"/>
      <c r="D57" s="519" t="s"/>
      <c r="E57" s="519" t="s"/>
      <c r="F57" s="519" t="s"/>
      <c r="G57" s="519" t="s"/>
      <c r="H57" s="519" t="s"/>
      <c r="I57" s="519" t="s"/>
      <c r="J57" s="519" t="s"/>
      <c r="K57" s="519" t="s"/>
      <c r="L57" s="3" t="n"/>
      <c r="M57" s="3" t="n"/>
      <c r="N57" s="3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90">
    <mergeCell ref="B1:N1"/>
    <mergeCell ref="I4:O4"/>
    <mergeCell ref="A6:N6"/>
    <mergeCell ref="B9:C9"/>
    <mergeCell ref="B11:C11"/>
    <mergeCell ref="D11:F11"/>
    <mergeCell ref="B12:C12"/>
    <mergeCell ref="D12:F12"/>
    <mergeCell ref="G11:H11"/>
    <mergeCell ref="I11:K11"/>
    <mergeCell ref="L11:N11"/>
    <mergeCell ref="G12:H12"/>
    <mergeCell ref="I12:K12"/>
    <mergeCell ref="L12:N12"/>
    <mergeCell ref="D9:F9"/>
    <mergeCell ref="G9:H9"/>
    <mergeCell ref="B10:C10"/>
    <mergeCell ref="D10:F10"/>
    <mergeCell ref="G10:H10"/>
    <mergeCell ref="I9:K9"/>
    <mergeCell ref="L9:N9"/>
    <mergeCell ref="L10:N10"/>
    <mergeCell ref="I10:K10"/>
    <mergeCell ref="B14:F14"/>
    <mergeCell ref="B15:C15"/>
    <mergeCell ref="D15:F15"/>
    <mergeCell ref="I14:K14"/>
    <mergeCell ref="L14:N14"/>
    <mergeCell ref="G15:H15"/>
    <mergeCell ref="I15:K15"/>
    <mergeCell ref="L15:N15"/>
    <mergeCell ref="B16:C16"/>
    <mergeCell ref="D16:F16"/>
    <mergeCell ref="B17:C17"/>
    <mergeCell ref="D17:F17"/>
    <mergeCell ref="G16:H16"/>
    <mergeCell ref="G17:H17"/>
    <mergeCell ref="I16:K16"/>
    <mergeCell ref="I17:K17"/>
    <mergeCell ref="L16:N16"/>
    <mergeCell ref="L17:N17"/>
    <mergeCell ref="G18:H18"/>
    <mergeCell ref="I18:K18"/>
    <mergeCell ref="L18:N18"/>
    <mergeCell ref="B18:C18"/>
    <mergeCell ref="D18:F18"/>
    <mergeCell ref="D21:F21"/>
    <mergeCell ref="B21:C21"/>
    <mergeCell ref="B22:C22"/>
    <mergeCell ref="D22:F22"/>
    <mergeCell ref="D23:F23"/>
    <mergeCell ref="B23:C23"/>
    <mergeCell ref="D24:F24"/>
    <mergeCell ref="B24:C24"/>
    <mergeCell ref="M22:N22"/>
    <mergeCell ref="J22:L22"/>
    <mergeCell ref="M21:N21"/>
    <mergeCell ref="J21:L21"/>
    <mergeCell ref="H21:I21"/>
    <mergeCell ref="M23:N23"/>
    <mergeCell ref="H22:I22"/>
    <mergeCell ref="J23:L23"/>
    <mergeCell ref="H23:I23"/>
    <mergeCell ref="M24:N24"/>
    <mergeCell ref="J24:L24"/>
    <mergeCell ref="H24:I24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5:J45"/>
    <mergeCell ref="B44:J44"/>
    <mergeCell ref="B43:J43"/>
    <mergeCell ref="A41:K41"/>
    <mergeCell ref="B42:J42"/>
    <mergeCell ref="B46:J46"/>
    <mergeCell ref="B47:J47"/>
    <mergeCell ref="B48:J48"/>
    <mergeCell ref="B49:J49"/>
    <mergeCell ref="A55:K55"/>
    <mergeCell ref="A57:K57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xl/worksheets/sheet1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51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" min="1" outlineLevel="0" style="398" width="4.35056646141734"/>
    <col customWidth="true" hidden="false" max="3" min="3" outlineLevel="0" style="398" width="15.4884116936461"/>
    <col customWidth="true" hidden="false" max="4" min="4" outlineLevel="0" style="398" width="18.7340719467154"/>
    <col customWidth="true" hidden="false" max="5" min="5" outlineLevel="0" style="398" width="25.7778458953602"/>
    <col customWidth="true" hidden="false" max="6" min="6" outlineLevel="0" style="398" width="17.7475489089035"/>
    <col customWidth="true" hidden="false" max="7" min="7" outlineLevel="0" style="398" width="19.7205949845272"/>
    <col customWidth="true" hidden="false" max="8" min="8" outlineLevel="0" style="398" width="12.962912175516"/>
  </cols>
  <sheetData>
    <row hidden="false" ht="15.75" outlineLevel="0" r="2">
      <c r="A2" s="1533" t="n"/>
      <c r="B2" s="1533" t="n"/>
      <c r="C2" s="1533" t="n"/>
      <c r="D2" s="93" t="n"/>
      <c r="F2" s="101" t="s">
        <v>175</v>
      </c>
      <c r="G2" s="101" t="n"/>
      <c r="H2" s="4" t="n"/>
      <c r="I2" s="104" t="n"/>
    </row>
    <row hidden="false" ht="15.75" outlineLevel="0" r="3">
      <c r="A3" s="1533" t="n"/>
      <c r="B3" s="1533" t="n"/>
      <c r="C3" s="1533" t="n"/>
      <c r="D3" s="93" t="n"/>
      <c r="F3" s="105" t="s">
        <v>176</v>
      </c>
      <c r="G3" s="4" t="n"/>
      <c r="H3" s="4" t="n"/>
      <c r="I3" s="4" t="n"/>
    </row>
    <row hidden="false" ht="15.75" outlineLevel="0" r="4">
      <c r="A4" s="1533" t="n"/>
      <c r="B4" s="1533" t="n"/>
      <c r="C4" s="1533" t="n"/>
      <c r="D4" s="93" t="n"/>
      <c r="F4" s="101" t="s">
        <v>226</v>
      </c>
      <c r="G4" s="101" t="n"/>
      <c r="H4" s="101" t="n"/>
      <c r="I4" s="101" t="n"/>
    </row>
    <row hidden="false" ht="15.75" outlineLevel="0" r="5">
      <c r="A5" s="1533" t="n"/>
      <c r="B5" s="1533" t="n"/>
      <c r="C5" s="1533" t="n"/>
      <c r="D5" s="93" t="n"/>
      <c r="F5" s="105" t="s">
        <v>178</v>
      </c>
      <c r="G5" s="105" t="n"/>
      <c r="H5" s="4" t="n"/>
      <c r="I5" s="4" t="n"/>
    </row>
    <row hidden="false" ht="12.75" outlineLevel="0" r="6">
      <c r="A6" s="1533" t="n"/>
      <c r="B6" s="1533" t="n"/>
      <c r="C6" s="1533" t="n"/>
      <c r="D6" s="93" t="n"/>
      <c r="E6" s="93" t="n"/>
      <c r="F6" s="1533" t="n"/>
      <c r="G6" s="93" t="n"/>
    </row>
    <row customHeight="true" hidden="false" ht="67.5" outlineLevel="0" r="7">
      <c r="A7" s="403" t="s">
        <v>286</v>
      </c>
      <c r="B7" s="403" t="s"/>
      <c r="C7" s="403" t="s"/>
      <c r="D7" s="403" t="s"/>
      <c r="E7" s="403" t="s"/>
      <c r="F7" s="403" t="s"/>
      <c r="G7" s="403" t="s"/>
      <c r="H7" s="403" t="s"/>
    </row>
    <row hidden="false" ht="15.75" outlineLevel="0" r="8">
      <c r="B8" s="101" t="s">
        <v>232</v>
      </c>
    </row>
    <row customHeight="true" hidden="false" ht="140.25" outlineLevel="0" r="9">
      <c r="A9" s="124" t="n"/>
      <c r="B9" s="129" t="s">
        <v>184</v>
      </c>
      <c r="C9" s="3136" t="s"/>
      <c r="D9" s="129" t="s">
        <v>233</v>
      </c>
      <c r="E9" s="129" t="s">
        <v>186</v>
      </c>
      <c r="F9" s="129" t="s">
        <v>187</v>
      </c>
      <c r="G9" s="129" t="s">
        <v>272</v>
      </c>
    </row>
    <row customHeight="true" hidden="false" ht="15.75" outlineLevel="0" r="10">
      <c r="A10" s="17" t="n">
        <v>1</v>
      </c>
      <c r="B10" s="144" t="s">
        <v>189</v>
      </c>
      <c r="C10" s="3137" t="s"/>
      <c r="D10" s="153" t="n">
        <f aca="false" ca="false" dt2D="false" dtr="false" t="normal">68227*1.302</f>
        <v>88831.554</v>
      </c>
      <c r="E10" s="384" t="n">
        <v>9600</v>
      </c>
      <c r="F10" s="159" t="n">
        <f aca="false" ca="false" dt2D="false" dtr="false" t="normal">SUM(27.2*60)</f>
        <v>1632</v>
      </c>
      <c r="G10" s="3141" t="n">
        <f aca="false" ca="false" dt2D="false" dtr="false" t="normal">D10/E10*F10</f>
        <v>15101.36418</v>
      </c>
    </row>
    <row customHeight="true" hidden="false" ht="15.75" outlineLevel="0" r="11">
      <c r="A11" s="17" t="n">
        <v>2</v>
      </c>
      <c r="B11" s="144" t="s">
        <v>237</v>
      </c>
      <c r="C11" s="3144" t="s"/>
      <c r="D11" s="225" t="n">
        <f aca="false" ca="false" dt2D="false" dtr="false" t="normal">98188.2*1.302</f>
        <v>127841.0364</v>
      </c>
      <c r="E11" s="384" t="n">
        <v>9600</v>
      </c>
      <c r="F11" s="384" t="n">
        <v>30</v>
      </c>
      <c r="G11" s="3141" t="n">
        <f aca="false" ca="false" dt2D="false" dtr="false" t="normal">D11/E11*F11</f>
        <v>399.50323875</v>
      </c>
    </row>
    <row customHeight="true" hidden="false" ht="15.75" outlineLevel="0" r="12">
      <c r="A12" s="17" t="n"/>
      <c r="B12" s="144" t="s">
        <v>183</v>
      </c>
      <c r="C12" s="3149" t="s"/>
      <c r="D12" s="153" t="n">
        <f aca="false" ca="false" dt2D="false" dtr="false" t="normal">SUM(D10:D11)</f>
        <v>216672.5904</v>
      </c>
      <c r="E12" s="384" t="n">
        <f aca="false" ca="false" dt2D="false" dtr="false" t="normal">SUM(E10:E11)</f>
        <v>19200</v>
      </c>
      <c r="F12" s="384" t="n">
        <f aca="false" ca="false" dt2D="false" dtr="false" t="normal">SUM(F10:F11)</f>
        <v>1662</v>
      </c>
      <c r="G12" s="3153" t="n">
        <f aca="false" ca="false" dt2D="false" dtr="false" t="normal">SUM(G10:G11)</f>
        <v>15500.86741875</v>
      </c>
    </row>
    <row hidden="false" ht="15.75" outlineLevel="0" r="13">
      <c r="A13" s="1" t="n"/>
      <c r="B13" s="4" t="n"/>
      <c r="C13" s="4" t="n"/>
      <c r="D13" s="4" t="n"/>
      <c r="E13" s="4" t="n"/>
      <c r="F13" s="4" t="n"/>
      <c r="G13" s="4" t="n"/>
      <c r="H13" s="4" t="n"/>
      <c r="I13" s="4" t="n"/>
    </row>
    <row customHeight="true" hidden="false" ht="15.75" outlineLevel="0" r="14">
      <c r="A14" s="1" t="n"/>
      <c r="B14" s="444" t="s">
        <v>198</v>
      </c>
      <c r="C14" s="3157" t="s"/>
      <c r="D14" s="3158" t="s"/>
      <c r="E14" s="3159" t="s"/>
      <c r="F14" s="3160" t="s"/>
      <c r="G14" s="119" t="n"/>
      <c r="H14" s="119" t="n"/>
      <c r="I14" s="119" t="n"/>
    </row>
    <row customHeight="true" hidden="false" ht="65.25" outlineLevel="0" r="15">
      <c r="A15" s="20" t="n"/>
      <c r="B15" s="129" t="s">
        <v>200</v>
      </c>
      <c r="C15" s="3164" t="s"/>
      <c r="D15" s="129" t="s">
        <v>201</v>
      </c>
      <c r="E15" s="129" t="s">
        <v>202</v>
      </c>
      <c r="F15" s="129" t="s">
        <v>267</v>
      </c>
      <c r="G15" s="129" t="s">
        <v>273</v>
      </c>
    </row>
    <row customHeight="true" hidden="false" ht="15.75" outlineLevel="0" r="16">
      <c r="A16" s="17" t="n">
        <v>1</v>
      </c>
      <c r="B16" s="32" t="s">
        <v>205</v>
      </c>
      <c r="C16" s="3168" t="s"/>
      <c r="D16" s="159" t="s">
        <v>207</v>
      </c>
      <c r="E16" s="159" t="n">
        <v>10</v>
      </c>
      <c r="F16" s="159" t="n">
        <f aca="false" ca="false" dt2D="false" dtr="false" t="normal">SUM(587/500)</f>
        <v>1.174</v>
      </c>
      <c r="G16" s="95" t="n">
        <f aca="false" ca="false" dt2D="false" dtr="false" t="normal">E16*F16</f>
        <v>11.739999999999998</v>
      </c>
    </row>
    <row customHeight="true" hidden="false" ht="15.75" outlineLevel="0" r="17">
      <c r="A17" s="17" t="n">
        <v>2</v>
      </c>
      <c r="B17" s="32" t="s">
        <v>209</v>
      </c>
      <c r="C17" s="3172" t="s"/>
      <c r="D17" s="159" t="s">
        <v>210</v>
      </c>
      <c r="E17" s="159" t="n">
        <v>0.078</v>
      </c>
      <c r="F17" s="3173" t="n">
        <v>1250</v>
      </c>
      <c r="G17" s="95" t="n">
        <f aca="false" ca="false" dt2D="false" dtr="false" t="normal">E17*F17</f>
        <v>97.5</v>
      </c>
    </row>
    <row customHeight="true" hidden="false" ht="15.75" outlineLevel="0" r="18">
      <c r="A18" s="124" t="n"/>
      <c r="B18" s="95" t="n"/>
      <c r="C18" s="3177" t="s"/>
      <c r="D18" s="3178" t="n"/>
      <c r="E18" s="3178" t="n"/>
      <c r="F18" s="3178" t="n"/>
      <c r="G18" s="136" t="n">
        <f aca="false" ca="false" dt2D="false" dtr="false" t="normal">SUM(G16:G17)</f>
        <v>109.24</v>
      </c>
    </row>
    <row hidden="false" ht="15.75" outlineLevel="0" r="19">
      <c r="A19" s="4" t="n"/>
      <c r="B19" s="119" t="n"/>
      <c r="C19" s="119" t="n"/>
      <c r="D19" s="119" t="n"/>
      <c r="E19" s="119" t="n"/>
      <c r="F19" s="119" t="n"/>
      <c r="G19" s="119" t="n"/>
      <c r="H19" s="119" t="n"/>
      <c r="I19" s="119" t="n"/>
    </row>
    <row hidden="false" ht="15.75" outlineLevel="0" r="20">
      <c r="A20" s="4" t="n"/>
      <c r="B20" s="105" t="s">
        <v>212</v>
      </c>
      <c r="C20" s="4" t="n"/>
      <c r="D20" s="4" t="n"/>
      <c r="E20" s="4" t="n"/>
      <c r="F20" s="4" t="n"/>
      <c r="G20" s="4" t="n"/>
      <c r="H20" s="4" t="n"/>
      <c r="I20" s="4" t="n"/>
    </row>
    <row customHeight="true" hidden="false" ht="87.75" outlineLevel="0" r="21">
      <c r="A21" s="124" t="n"/>
      <c r="B21" s="129" t="s">
        <v>213</v>
      </c>
      <c r="C21" s="3182" t="s"/>
      <c r="D21" s="259" t="s">
        <v>214</v>
      </c>
      <c r="E21" s="259" t="s">
        <v>215</v>
      </c>
      <c r="F21" s="3183" t="s">
        <v>216</v>
      </c>
      <c r="G21" s="259" t="s">
        <v>217</v>
      </c>
      <c r="H21" s="129" t="s">
        <v>218</v>
      </c>
      <c r="I21" s="3185" t="s"/>
    </row>
    <row customHeight="true" hidden="false" ht="15.75" outlineLevel="0" r="22">
      <c r="A22" s="17" t="n">
        <v>1</v>
      </c>
      <c r="B22" s="32" t="s">
        <v>173</v>
      </c>
      <c r="C22" s="3186" t="s"/>
      <c r="D22" s="3173" t="n">
        <v>70000</v>
      </c>
      <c r="E22" s="525" t="n">
        <v>0.3</v>
      </c>
      <c r="F22" s="3187" t="s">
        <v>174</v>
      </c>
      <c r="G22" s="3173" t="n">
        <v>28</v>
      </c>
      <c r="H22" s="106" t="n">
        <f aca="false" ca="false" dt2D="false" dtr="false" t="normal">D22*E22/F22*G22</f>
        <v>367.5</v>
      </c>
      <c r="I22" s="3194" t="s"/>
    </row>
    <row customHeight="true" hidden="false" ht="15.75" outlineLevel="0" r="23">
      <c r="A23" s="17" t="n">
        <v>2</v>
      </c>
      <c r="B23" s="32" t="s">
        <v>179</v>
      </c>
      <c r="C23" s="3198" t="s"/>
      <c r="D23" s="3173" t="n">
        <v>17856</v>
      </c>
      <c r="E23" s="525" t="n">
        <v>0.3</v>
      </c>
      <c r="F23" s="3187" t="s">
        <v>174</v>
      </c>
      <c r="G23" s="3173" t="n">
        <v>0.5</v>
      </c>
      <c r="H23" s="106" t="n">
        <f aca="false" ca="false" dt2D="false" dtr="false" t="normal">D23*E23/F23*G23</f>
        <v>1.6740000000000002</v>
      </c>
      <c r="I23" s="3202" t="s"/>
    </row>
    <row hidden="false" ht="15.75" outlineLevel="0" r="24">
      <c r="A24" s="124" t="n"/>
      <c r="B24" s="95" t="n"/>
      <c r="C24" s="3203" t="s"/>
      <c r="D24" s="3204" t="n"/>
      <c r="E24" s="98" t="n"/>
      <c r="F24" s="3205" t="n"/>
      <c r="G24" s="3204" t="n"/>
      <c r="H24" s="136" t="n">
        <f aca="false" ca="false" dt2D="false" dtr="false" t="normal">SUM(H22:I23)</f>
        <v>369.174</v>
      </c>
      <c r="I24" s="3209" t="s"/>
    </row>
    <row hidden="false" ht="15.75" outlineLevel="0" r="25">
      <c r="A25" s="4" t="n"/>
      <c r="B25" s="4" t="n"/>
      <c r="C25" s="4" t="n"/>
      <c r="D25" s="4" t="n"/>
      <c r="E25" s="4" t="n"/>
      <c r="F25" s="4" t="n"/>
      <c r="G25" s="4" t="n"/>
      <c r="H25" s="4" t="n"/>
      <c r="I25" s="558" t="n"/>
    </row>
    <row hidden="false" ht="15.75" outlineLevel="0" r="26">
      <c r="A26" s="4" t="n"/>
      <c r="B26" s="101" t="s">
        <v>219</v>
      </c>
      <c r="C26" s="119" t="n"/>
      <c r="D26" s="119" t="n"/>
      <c r="E26" s="119" t="n"/>
      <c r="F26" s="119" t="n"/>
      <c r="G26" s="119" t="n"/>
      <c r="H26" s="119" t="n"/>
      <c r="I26" s="119" t="n"/>
    </row>
    <row hidden="false" ht="15.75" outlineLevel="0" r="27">
      <c r="A27" s="20" t="n"/>
      <c r="B27" s="3132" t="s">
        <v>220</v>
      </c>
      <c r="C27" s="3133" t="n"/>
      <c r="D27" s="3133" t="n"/>
      <c r="E27" s="3133" t="n"/>
      <c r="F27" s="20" t="s">
        <v>270</v>
      </c>
      <c r="G27" s="93" t="n"/>
      <c r="H27" s="93" t="n"/>
      <c r="I27" s="93" t="n"/>
    </row>
    <row hidden="false" ht="15.75" outlineLevel="0" r="28">
      <c r="A28" s="17" t="n">
        <v>1</v>
      </c>
      <c r="B28" s="3134" t="s">
        <v>222</v>
      </c>
      <c r="C28" s="3135" t="n"/>
      <c r="D28" s="3135" t="n"/>
      <c r="E28" s="3135" t="n"/>
      <c r="F28" s="285" t="n">
        <f aca="false" ca="false" dt2D="false" dtr="false" t="normal">SUM(F29:F30)</f>
        <v>102005.23762063854</v>
      </c>
      <c r="G28" s="93" t="n"/>
      <c r="H28" s="93" t="n"/>
      <c r="I28" s="93" t="n"/>
    </row>
    <row customHeight="true" hidden="false" ht="33.75" outlineLevel="0" r="29">
      <c r="A29" s="17" t="n"/>
      <c r="B29" s="144" t="s">
        <v>223</v>
      </c>
      <c r="C29" s="3138" t="s"/>
      <c r="D29" s="3139" t="s"/>
      <c r="E29" s="3140" t="s"/>
      <c r="F29" s="285" t="n">
        <f aca="false" ca="false" dt2D="false" dtr="false" t="normal">(15990207-D12)*1.302/218</f>
        <v>94207.07248302386</v>
      </c>
    </row>
    <row customHeight="true" hidden="false" ht="36.75" outlineLevel="0" r="30">
      <c r="A30" s="17" t="n"/>
      <c r="B30" s="144" t="s">
        <v>224</v>
      </c>
      <c r="C30" s="3142" t="s"/>
      <c r="D30" s="3143" t="s"/>
      <c r="E30" s="3145" t="s"/>
      <c r="F30" s="285" t="n">
        <f aca="false" ca="false" dt2D="false" dtr="false" t="normal">(200000+1500000)/218</f>
        <v>7798.165137614679</v>
      </c>
    </row>
    <row customHeight="true" hidden="false" ht="15.75" outlineLevel="0" r="31">
      <c r="A31" s="17" t="n">
        <v>2</v>
      </c>
      <c r="B31" s="144" t="s">
        <v>225</v>
      </c>
      <c r="C31" s="3146" t="s"/>
      <c r="D31" s="3147" t="s"/>
      <c r="E31" s="3148" t="s"/>
      <c r="F31" s="285" t="n">
        <f aca="false" ca="false" dt2D="false" dtr="false" t="normal">SUM(F32:F33)</f>
        <v>68104.96788990825</v>
      </c>
    </row>
    <row customHeight="true" hidden="false" ht="15.75" outlineLevel="0" r="32">
      <c r="A32" s="17" t="n"/>
      <c r="B32" s="310" t="s">
        <v>227</v>
      </c>
      <c r="C32" s="3150" t="s"/>
      <c r="D32" s="3151" t="s"/>
      <c r="E32" s="3152" t="s"/>
      <c r="F32" s="285" t="n">
        <f aca="false" ca="false" dt2D="false" dtr="false" t="normal">2000000/218</f>
        <v>9174.311926605504</v>
      </c>
    </row>
    <row customHeight="true" hidden="false" ht="15.75" outlineLevel="0" r="33">
      <c r="A33" s="17" t="n"/>
      <c r="B33" s="310" t="s">
        <v>228</v>
      </c>
      <c r="C33" s="3154" t="s"/>
      <c r="D33" s="3155" t="s"/>
      <c r="E33" s="3156" t="s"/>
      <c r="F33" s="285" t="n">
        <f aca="false" ca="false" dt2D="false" dtr="false" t="normal">(8246883+3800000+800000)/218</f>
        <v>58930.65596330275</v>
      </c>
    </row>
    <row customHeight="true" hidden="false" ht="15.75" outlineLevel="0" r="34">
      <c r="A34" s="17" t="n">
        <v>3</v>
      </c>
      <c r="B34" s="144" t="s">
        <v>230</v>
      </c>
      <c r="C34" s="3161" t="s"/>
      <c r="D34" s="3162" t="s"/>
      <c r="E34" s="3163" t="s"/>
      <c r="F34" s="285" t="n">
        <f aca="false" ca="false" dt2D="false" dtr="false" t="normal">H24</f>
        <v>369.174</v>
      </c>
      <c r="G34" s="93" t="n"/>
      <c r="H34" s="93" t="n"/>
      <c r="I34" s="93" t="n"/>
    </row>
    <row customHeight="true" hidden="false" ht="15.75" outlineLevel="0" r="35">
      <c r="A35" s="17" t="n"/>
      <c r="B35" s="276" t="s">
        <v>183</v>
      </c>
      <c r="C35" s="3165" t="s"/>
      <c r="D35" s="3166" t="s"/>
      <c r="E35" s="3167" t="s"/>
      <c r="F35" s="285" t="n">
        <f aca="false" ca="false" dt2D="false" dtr="false" t="normal">F31+F34</f>
        <v>68474.14188990825</v>
      </c>
      <c r="G35" s="93" t="n"/>
      <c r="H35" s="93" t="n"/>
      <c r="I35" s="93" t="n"/>
    </row>
    <row customHeight="true" hidden="false" ht="39.75" outlineLevel="0" r="36">
      <c r="A36" s="17" t="n">
        <v>4</v>
      </c>
      <c r="B36" s="144" t="s">
        <v>231</v>
      </c>
      <c r="C36" s="3169" t="s"/>
      <c r="D36" s="3170" t="s"/>
      <c r="E36" s="3171" t="s"/>
      <c r="F36" s="285" t="n">
        <f aca="false" ca="false" dt2D="false" dtr="false" t="normal">SUM(D12)</f>
        <v>216672.5904</v>
      </c>
      <c r="G36" s="93" t="n"/>
      <c r="H36" s="93" t="n"/>
      <c r="I36" s="93" t="n"/>
    </row>
    <row customHeight="true" hidden="false" ht="15.75" outlineLevel="0" r="37">
      <c r="A37" s="17" t="n">
        <v>5</v>
      </c>
      <c r="B37" s="276" t="s">
        <v>234</v>
      </c>
      <c r="C37" s="3174" t="s"/>
      <c r="D37" s="3175" t="s"/>
      <c r="E37" s="3176" t="s"/>
      <c r="F37" s="285" t="n">
        <f aca="false" ca="false" dt2D="false" dtr="false" t="normal">(F28+F31+F34)/F36</f>
        <v>0.7868063939043893</v>
      </c>
      <c r="G37" s="93" t="n"/>
      <c r="H37" s="93" t="n"/>
      <c r="I37" s="93" t="n"/>
    </row>
    <row customHeight="true" hidden="false" ht="15.75" outlineLevel="0" r="38">
      <c r="A38" s="17" t="n">
        <f aca="false" ca="false" dt2D="false" dtr="false" t="normal">SUM(A37+1)</f>
        <v>6</v>
      </c>
      <c r="B38" s="144" t="s">
        <v>235</v>
      </c>
      <c r="C38" s="3179" t="s"/>
      <c r="D38" s="3180" t="s"/>
      <c r="E38" s="3181" t="s"/>
      <c r="F38" s="285" t="n">
        <f aca="false" ca="false" dt2D="false" dtr="false" t="normal">SUM(G12)</f>
        <v>15500.86741875</v>
      </c>
      <c r="G38" s="93" t="n"/>
      <c r="H38" s="93" t="n"/>
      <c r="I38" s="93" t="n"/>
    </row>
    <row hidden="false" ht="15.75" outlineLevel="0" r="39">
      <c r="A39" s="383" t="n"/>
      <c r="B39" s="3134" t="s">
        <v>236</v>
      </c>
      <c r="C39" s="3135" t="n"/>
      <c r="D39" s="3135" t="n"/>
      <c r="E39" s="3184" t="n"/>
      <c r="F39" s="395" t="n">
        <f aca="false" ca="false" dt2D="false" dtr="false" t="normal">SUM(F38*F37)</f>
        <v>12196.181596136727</v>
      </c>
      <c r="G39" s="93" t="n"/>
      <c r="H39" s="93" t="n"/>
      <c r="I39" s="93" t="n"/>
    </row>
    <row customHeight="true" hidden="false" ht="62.25" outlineLevel="0" r="41">
      <c r="A41" s="146" t="s">
        <v>287</v>
      </c>
      <c r="B41" s="3188" t="s"/>
      <c r="C41" s="3189" t="s"/>
      <c r="D41" s="3190" t="s"/>
      <c r="E41" s="3191" t="s"/>
      <c r="F41" s="3192" t="s"/>
      <c r="G41" s="3193" t="n"/>
      <c r="H41" s="3193" t="n"/>
      <c r="I41" s="3193" t="n"/>
    </row>
    <row customHeight="true" hidden="false" ht="31.5" outlineLevel="0" r="42">
      <c r="A42" s="169" t="s">
        <v>239</v>
      </c>
      <c r="B42" s="169" t="s">
        <v>240</v>
      </c>
      <c r="C42" s="3195" t="s"/>
      <c r="D42" s="3196" t="s"/>
      <c r="E42" s="3197" t="s"/>
      <c r="F42" s="417" t="s">
        <v>241</v>
      </c>
      <c r="G42" s="93" t="n"/>
      <c r="H42" s="93" t="n"/>
      <c r="I42" s="93" t="n"/>
    </row>
    <row customHeight="true" hidden="false" ht="15.75" outlineLevel="0" r="43">
      <c r="A43" s="67" t="n">
        <v>1</v>
      </c>
      <c r="B43" s="177" t="s">
        <v>242</v>
      </c>
      <c r="C43" s="3199" t="s"/>
      <c r="D43" s="3200" t="s"/>
      <c r="E43" s="3201" t="s"/>
      <c r="F43" s="434" t="n">
        <f aca="false" ca="false" dt2D="false" dtr="false" t="normal">SUM(G12)</f>
        <v>15500.86741875</v>
      </c>
      <c r="G43" s="93" t="n"/>
      <c r="H43" s="93" t="n"/>
      <c r="I43" s="93" t="n"/>
    </row>
    <row customHeight="true" hidden="false" ht="15.75" outlineLevel="0" r="44">
      <c r="A44" s="67" t="n">
        <v>2</v>
      </c>
      <c r="B44" s="189" t="s">
        <v>243</v>
      </c>
      <c r="C44" s="3206" t="s"/>
      <c r="D44" s="3207" t="s"/>
      <c r="E44" s="3208" t="s"/>
      <c r="F44" s="434" t="n">
        <f aca="false" ca="false" dt2D="false" dtr="false" t="normal">SUM(G18)</f>
        <v>109.24</v>
      </c>
      <c r="G44" s="93" t="n"/>
      <c r="H44" s="93" t="n"/>
      <c r="I44" s="93" t="n"/>
    </row>
    <row customHeight="true" hidden="false" ht="38.25" outlineLevel="0" r="45">
      <c r="A45" s="67" t="n">
        <v>3</v>
      </c>
      <c r="B45" s="177" t="s">
        <v>244</v>
      </c>
      <c r="C45" s="3210" t="s"/>
      <c r="D45" s="3211" t="s"/>
      <c r="E45" s="3212" t="s"/>
      <c r="F45" s="434" t="n">
        <f aca="false" ca="false" dt2D="false" dtr="false" t="normal">SUM(H24)</f>
        <v>369.174</v>
      </c>
      <c r="G45" s="93" t="n"/>
      <c r="H45" s="93" t="n"/>
      <c r="I45" s="93" t="n"/>
    </row>
    <row customHeight="true" hidden="false" ht="15.75" outlineLevel="0" r="46">
      <c r="A46" s="67" t="n">
        <v>4</v>
      </c>
      <c r="B46" s="177" t="s">
        <v>245</v>
      </c>
      <c r="C46" s="3216" t="s"/>
      <c r="D46" s="3217" t="s"/>
      <c r="E46" s="3218" t="s"/>
      <c r="F46" s="434" t="n">
        <f aca="false" ca="false" dt2D="false" dtr="false" t="normal">SUM(F39)</f>
        <v>12196.181596136727</v>
      </c>
      <c r="G46" s="93" t="n"/>
      <c r="H46" s="93" t="n"/>
      <c r="I46" s="93" t="n"/>
    </row>
    <row customHeight="true" hidden="false" ht="15.75" outlineLevel="0" r="47">
      <c r="A47" s="67" t="n">
        <v>5</v>
      </c>
      <c r="B47" s="189" t="s">
        <v>247</v>
      </c>
      <c r="C47" s="3222" t="s"/>
      <c r="D47" s="3223" t="s"/>
      <c r="E47" s="3224" t="s"/>
      <c r="F47" s="434" t="n">
        <f aca="false" ca="false" dt2D="false" dtr="false" t="normal">SUM(F43:F46)</f>
        <v>28175.46301488673</v>
      </c>
      <c r="G47" s="93" t="n"/>
      <c r="H47" s="93" t="n"/>
      <c r="I47" s="93" t="n"/>
    </row>
    <row customHeight="true" hidden="false" ht="15.75" outlineLevel="0" r="48">
      <c r="A48" s="67" t="n">
        <v>6</v>
      </c>
      <c r="B48" s="189" t="s">
        <v>208</v>
      </c>
      <c r="C48" s="3213" t="s"/>
      <c r="D48" s="3214" t="s"/>
      <c r="E48" s="3215" t="s"/>
      <c r="F48" s="434" t="n">
        <f aca="false" ca="false" dt2D="false" dtr="false" t="normal">SUM(F47*0.22)</f>
        <v>6198.60186327508</v>
      </c>
      <c r="G48" s="93" t="n"/>
      <c r="H48" s="93" t="n"/>
      <c r="I48" s="93" t="n"/>
    </row>
    <row customHeight="true" hidden="false" ht="15.75" outlineLevel="0" r="49">
      <c r="A49" s="67" t="n"/>
      <c r="B49" s="177" t="s">
        <v>211</v>
      </c>
      <c r="C49" s="3219" t="s"/>
      <c r="D49" s="3220" t="s"/>
      <c r="E49" s="3221" t="s"/>
      <c r="F49" s="512" t="n">
        <f aca="false" ca="false" dt2D="false" dtr="false" t="normal">SUM(F47:F48)-74</f>
        <v>34300.06487816181</v>
      </c>
      <c r="G49" s="93" t="n"/>
      <c r="H49" s="93" t="n"/>
      <c r="I49" s="93" t="n"/>
    </row>
    <row hidden="false" ht="12.75" outlineLevel="0" r="51">
      <c r="F51" s="398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37">
    <mergeCell ref="A7:H7"/>
    <mergeCell ref="B9:C9"/>
    <mergeCell ref="B10:C10"/>
    <mergeCell ref="B11:C11"/>
    <mergeCell ref="B12:C12"/>
    <mergeCell ref="B14:F14"/>
    <mergeCell ref="B15:C15"/>
    <mergeCell ref="B16:C16"/>
    <mergeCell ref="B17:C17"/>
    <mergeCell ref="B18:C18"/>
    <mergeCell ref="H21:I21"/>
    <mergeCell ref="H22:I22"/>
    <mergeCell ref="H23:I23"/>
    <mergeCell ref="H24:I24"/>
    <mergeCell ref="B21:C21"/>
    <mergeCell ref="B22:C22"/>
    <mergeCell ref="B23:C23"/>
    <mergeCell ref="B24:C24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41:F41"/>
    <mergeCell ref="B42:E42"/>
    <mergeCell ref="B43:E43"/>
    <mergeCell ref="B44:E44"/>
    <mergeCell ref="B45:E45"/>
    <mergeCell ref="B46:E46"/>
    <mergeCell ref="B47:E47"/>
    <mergeCell ref="B48:E48"/>
    <mergeCell ref="B49:E49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1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G78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" min="1" outlineLevel="0" style="398" width="2.94970401839039"/>
    <col customWidth="true" hidden="false" max="2" min="2" outlineLevel="0" style="398" width="19.1484127052599"/>
    <col customWidth="true" hidden="false" max="3" min="3" outlineLevel="0" style="398" width="24.7913228575484"/>
    <col customWidth="true" hidden="false" max="4" min="4" outlineLevel="0" style="398" width="13.6633440736942"/>
    <col customWidth="true" hidden="false" max="5" min="5" outlineLevel="0" style="398" width="12.962912175516"/>
    <col customWidth="true" hidden="false" max="6" min="6" outlineLevel="0" style="398" width="17.1852310480166"/>
    <col customWidth="true" hidden="false" max="7" min="7" outlineLevel="0" style="398" width="16.0605953262429"/>
  </cols>
  <sheetData>
    <row hidden="false" ht="15.75" outlineLevel="0" r="1">
      <c r="D1" s="101" t="s">
        <v>175</v>
      </c>
      <c r="E1" s="101" t="n"/>
      <c r="F1" s="4" t="n"/>
    </row>
    <row customHeight="true" hidden="false" ht="15" outlineLevel="0" r="2">
      <c r="A2" s="1533" t="n"/>
      <c r="B2" s="1533" t="n"/>
      <c r="C2" s="3225" t="n"/>
      <c r="D2" s="105" t="s">
        <v>176</v>
      </c>
      <c r="E2" s="4" t="n"/>
      <c r="F2" s="4" t="n"/>
      <c r="G2" s="1524" t="n"/>
    </row>
    <row hidden="false" ht="15.75" outlineLevel="0" r="3">
      <c r="A3" s="1533" t="n"/>
      <c r="B3" s="1533" t="n"/>
      <c r="C3" s="3226" t="n"/>
      <c r="D3" s="101" t="s">
        <v>226</v>
      </c>
      <c r="E3" s="101" t="n"/>
      <c r="F3" s="101" t="n"/>
      <c r="G3" s="93" t="n"/>
    </row>
    <row hidden="false" ht="15.75" outlineLevel="0" r="4">
      <c r="A4" s="1533" t="n"/>
      <c r="B4" s="1533" t="n"/>
      <c r="C4" s="1533" t="n"/>
      <c r="D4" s="105" t="s">
        <v>178</v>
      </c>
      <c r="E4" s="105" t="n"/>
      <c r="F4" s="4" t="n"/>
    </row>
    <row customHeight="true" hidden="false" ht="12.75" outlineLevel="0" r="5">
      <c r="A5" s="1533" t="n"/>
      <c r="B5" s="1533" t="n"/>
      <c r="C5" s="1533" t="n"/>
    </row>
    <row customHeight="true" hidden="false" ht="2.25" outlineLevel="0" r="6">
      <c r="A6" s="1533" t="n"/>
      <c r="B6" s="1533" t="n"/>
      <c r="C6" s="1533" t="n"/>
    </row>
    <row customHeight="true" hidden="false" ht="69" outlineLevel="0" r="7">
      <c r="A7" s="403" t="s">
        <v>288</v>
      </c>
      <c r="B7" s="403" t="s"/>
      <c r="C7" s="403" t="s"/>
      <c r="D7" s="403" t="s"/>
      <c r="E7" s="403" t="s"/>
      <c r="F7" s="403" t="s"/>
    </row>
    <row customHeight="true" hidden="false" ht="26.25" outlineLevel="0" r="8">
      <c r="A8" s="93" t="n"/>
      <c r="B8" s="101" t="s">
        <v>232</v>
      </c>
      <c r="C8" s="4" t="n"/>
      <c r="D8" s="4" t="n"/>
      <c r="E8" s="4" t="n"/>
      <c r="F8" s="4" t="n"/>
      <c r="G8" s="93" t="n"/>
    </row>
    <row customHeight="true" hidden="false" ht="129.75" outlineLevel="0" r="9">
      <c r="A9" s="3227" t="n"/>
      <c r="B9" s="3228" t="s">
        <v>184</v>
      </c>
      <c r="C9" s="129" t="s">
        <v>233</v>
      </c>
      <c r="D9" s="129" t="s">
        <v>186</v>
      </c>
      <c r="E9" s="129" t="s">
        <v>187</v>
      </c>
      <c r="F9" s="129" t="s">
        <v>272</v>
      </c>
    </row>
    <row hidden="false" ht="15.75" outlineLevel="0" r="10">
      <c r="A10" s="17" t="n">
        <v>1</v>
      </c>
      <c r="B10" s="3229" t="s">
        <v>189</v>
      </c>
      <c r="C10" s="225" t="n">
        <f aca="false" ca="false" dt2D="false" dtr="false" t="normal">68227*1.302</f>
        <v>88831.554</v>
      </c>
      <c r="D10" s="381" t="n">
        <v>9600</v>
      </c>
      <c r="E10" s="159" t="n">
        <f aca="false" ca="false" dt2D="false" dtr="false" t="normal">SUM(10*60)</f>
        <v>600</v>
      </c>
      <c r="F10" s="225" t="n">
        <f aca="false" ca="false" dt2D="false" dtr="false" t="normal">C10/D10*E10</f>
        <v>5551.972125</v>
      </c>
      <c r="G10" s="93" t="n"/>
    </row>
    <row customHeight="true" hidden="false" ht="17.25" outlineLevel="0" r="11">
      <c r="A11" s="17" t="n">
        <v>2</v>
      </c>
      <c r="B11" s="3229" t="s">
        <v>253</v>
      </c>
      <c r="C11" s="225" t="n">
        <f aca="false" ca="false" dt2D="false" dtr="false" t="normal">67733*1.302</f>
        <v>88188.36600000001</v>
      </c>
      <c r="D11" s="381" t="n">
        <v>9600</v>
      </c>
      <c r="E11" s="159" t="n">
        <f aca="false" ca="false" dt2D="false" dtr="false" t="normal">SUM(12*60)</f>
        <v>720</v>
      </c>
      <c r="F11" s="225" t="n">
        <f aca="false" ca="false" dt2D="false" dtr="false" t="normal">C11/D11*E11</f>
        <v>6614.127450000001</v>
      </c>
      <c r="G11" s="93" t="n"/>
    </row>
    <row hidden="false" ht="15.75" outlineLevel="0" r="12">
      <c r="A12" s="17" t="n"/>
      <c r="B12" s="3229" t="s">
        <v>183</v>
      </c>
      <c r="C12" s="225" t="n">
        <f aca="false" ca="false" dt2D="false" dtr="false" t="normal">SUM(C10:C11)</f>
        <v>177019.92</v>
      </c>
      <c r="D12" s="381" t="n">
        <f aca="false" ca="false" dt2D="false" dtr="false" t="normal">SUM(D10:D11)</f>
        <v>19200</v>
      </c>
      <c r="E12" s="381" t="n">
        <f aca="false" ca="false" dt2D="false" dtr="false" t="normal">SUM(E10:E11)</f>
        <v>1320</v>
      </c>
      <c r="F12" s="250" t="n">
        <f aca="false" ca="false" dt2D="false" dtr="false" t="normal">SUM(F10:F11)</f>
        <v>12166.099575</v>
      </c>
      <c r="G12" s="93" t="n"/>
    </row>
    <row customHeight="true" hidden="false" ht="12.75" outlineLevel="0" r="13">
      <c r="A13" s="1" t="n"/>
      <c r="B13" s="4" t="n"/>
      <c r="C13" s="3253" t="n"/>
      <c r="D13" s="3253" t="n"/>
      <c r="E13" s="3253" t="n"/>
      <c r="F13" s="3253" t="n"/>
      <c r="G13" s="93" t="n"/>
    </row>
    <row customHeight="true" hidden="false" ht="22.5" outlineLevel="0" r="14">
      <c r="A14" s="1" t="n"/>
      <c r="B14" s="444" t="s">
        <v>198</v>
      </c>
      <c r="C14" s="3257" t="s"/>
      <c r="D14" s="3258" t="s"/>
      <c r="E14" s="3259" t="s"/>
      <c r="F14" s="3260" t="s"/>
      <c r="G14" s="93" t="n"/>
    </row>
    <row customHeight="true" hidden="false" ht="72.75" outlineLevel="0" r="15">
      <c r="A15" s="20" t="n"/>
      <c r="B15" s="129" t="s">
        <v>200</v>
      </c>
      <c r="C15" s="129" t="s">
        <v>201</v>
      </c>
      <c r="D15" s="129" t="s">
        <v>202</v>
      </c>
      <c r="E15" s="129" t="s">
        <v>267</v>
      </c>
      <c r="F15" s="129" t="s">
        <v>273</v>
      </c>
    </row>
    <row hidden="false" ht="15.75" outlineLevel="0" r="16">
      <c r="A16" s="17" t="n">
        <v>1</v>
      </c>
      <c r="B16" s="3204" t="s">
        <v>205</v>
      </c>
      <c r="C16" s="95" t="s">
        <v>207</v>
      </c>
      <c r="D16" s="95" t="n">
        <v>5</v>
      </c>
      <c r="E16" s="95" t="n">
        <f aca="false" ca="false" dt2D="false" dtr="false" t="normal">587/500</f>
        <v>1.174</v>
      </c>
      <c r="F16" s="95" t="n">
        <f aca="false" ca="false" dt2D="false" dtr="false" t="normal">D16*E16</f>
        <v>5.869999999999999</v>
      </c>
      <c r="G16" s="93" t="n"/>
    </row>
    <row hidden="false" ht="15.75" outlineLevel="0" r="17">
      <c r="A17" s="17" t="n">
        <v>2</v>
      </c>
      <c r="B17" s="3204" t="s">
        <v>209</v>
      </c>
      <c r="C17" s="95" t="s">
        <v>210</v>
      </c>
      <c r="D17" s="95" t="n">
        <f aca="false" ca="false" dt2D="false" dtr="false" t="normal">0.078</f>
        <v>0.078</v>
      </c>
      <c r="E17" s="3264" t="n">
        <v>1250</v>
      </c>
      <c r="F17" s="95" t="n">
        <f aca="false" ca="false" dt2D="false" dtr="false" t="normal">D17*E17</f>
        <v>97.5</v>
      </c>
      <c r="G17" s="93" t="n"/>
    </row>
    <row hidden="false" ht="15.75" outlineLevel="0" r="18">
      <c r="A18" s="17" t="n"/>
      <c r="B18" s="3204" t="n"/>
      <c r="C18" s="95" t="n"/>
      <c r="D18" s="95" t="n"/>
      <c r="E18" s="95" t="n"/>
      <c r="F18" s="136" t="n">
        <f aca="false" ca="false" dt2D="false" dtr="false" t="normal">SUM(F16:F17)</f>
        <v>103.37</v>
      </c>
      <c r="G18" s="93" t="n"/>
    </row>
    <row hidden="false" ht="15.75" outlineLevel="0" r="19">
      <c r="A19" s="1" t="n"/>
      <c r="B19" s="119" t="n"/>
      <c r="C19" s="119" t="n"/>
      <c r="D19" s="119" t="n"/>
      <c r="E19" s="119" t="n"/>
      <c r="F19" s="253" t="n"/>
      <c r="G19" s="93" t="n"/>
    </row>
    <row hidden="false" ht="15.75" outlineLevel="0" r="20">
      <c r="A20" s="1" t="n"/>
      <c r="B20" s="105" t="s">
        <v>212</v>
      </c>
      <c r="C20" s="4" t="n"/>
      <c r="D20" s="4" t="n"/>
      <c r="E20" s="4" t="n"/>
      <c r="F20" s="4" t="n"/>
      <c r="G20" s="93" t="n"/>
    </row>
    <row hidden="false" ht="94.5" outlineLevel="0" r="21">
      <c r="A21" s="17" t="n"/>
      <c r="B21" s="259" t="s">
        <v>213</v>
      </c>
      <c r="C21" s="259" t="s">
        <v>214</v>
      </c>
      <c r="D21" s="129" t="s">
        <v>215</v>
      </c>
      <c r="E21" s="3265" t="s">
        <v>216</v>
      </c>
      <c r="F21" s="259" t="s">
        <v>217</v>
      </c>
      <c r="G21" s="129" t="s">
        <v>218</v>
      </c>
    </row>
    <row hidden="false" ht="15.75" outlineLevel="0" r="22">
      <c r="A22" s="17" t="n">
        <v>1</v>
      </c>
      <c r="B22" s="3266" t="s">
        <v>173</v>
      </c>
      <c r="C22" s="3264" t="n">
        <v>70000</v>
      </c>
      <c r="D22" s="3267" t="n">
        <v>0.3</v>
      </c>
      <c r="E22" s="3268" t="s">
        <v>174</v>
      </c>
      <c r="F22" s="3268" t="s">
        <v>290</v>
      </c>
      <c r="G22" s="3269" t="n">
        <f aca="false" ca="false" dt2D="false" dtr="false" t="normal">C22*D22/E22*F22</f>
        <v>131.25</v>
      </c>
    </row>
    <row hidden="false" ht="15.75" outlineLevel="0" r="23">
      <c r="A23" s="17" t="n">
        <v>2</v>
      </c>
      <c r="B23" s="3266" t="s">
        <v>179</v>
      </c>
      <c r="C23" s="3264" t="n">
        <v>17856</v>
      </c>
      <c r="D23" s="3267" t="n">
        <v>0.3</v>
      </c>
      <c r="E23" s="3268" t="s">
        <v>174</v>
      </c>
      <c r="F23" s="3270" t="n">
        <v>0.5</v>
      </c>
      <c r="G23" s="3269" t="n">
        <f aca="false" ca="false" dt2D="false" dtr="false" t="normal">C23*D23/E23*F23</f>
        <v>1.6740000000000002</v>
      </c>
    </row>
    <row hidden="false" ht="15.75" outlineLevel="0" r="24">
      <c r="A24" s="17" t="n">
        <v>3</v>
      </c>
      <c r="B24" s="3266" t="s">
        <v>181</v>
      </c>
      <c r="C24" s="3264" t="n">
        <v>500000</v>
      </c>
      <c r="D24" s="3267" t="n">
        <v>0.3</v>
      </c>
      <c r="E24" s="3268" t="s">
        <v>174</v>
      </c>
      <c r="F24" s="3270" t="n">
        <v>4</v>
      </c>
      <c r="G24" s="3269" t="n">
        <f aca="false" ca="false" dt2D="false" dtr="false" t="normal">C24*D24/E24*F24</f>
        <v>375</v>
      </c>
    </row>
    <row hidden="false" ht="15.75" outlineLevel="0" r="25">
      <c r="A25" s="3227" t="n"/>
      <c r="B25" s="3264" t="n"/>
      <c r="C25" s="3264" t="n"/>
      <c r="D25" s="3274" t="n"/>
      <c r="E25" s="3268" t="n"/>
      <c r="F25" s="3270" t="n"/>
      <c r="G25" s="3275" t="n">
        <f aca="false" ca="false" dt2D="false" dtr="false" t="normal">SUM(G22:G24)</f>
        <v>507.924</v>
      </c>
    </row>
    <row hidden="false" ht="15.75" outlineLevel="0" r="26">
      <c r="B26" s="4" t="n"/>
      <c r="C26" s="4" t="n"/>
      <c r="D26" s="4" t="n"/>
      <c r="E26" s="4" t="n"/>
      <c r="F26" s="4" t="n"/>
    </row>
    <row hidden="false" ht="15.75" outlineLevel="0" r="27">
      <c r="A27" s="4" t="n"/>
      <c r="B27" s="101" t="s">
        <v>219</v>
      </c>
      <c r="C27" s="119" t="n"/>
      <c r="D27" s="119" t="n"/>
      <c r="E27" s="119" t="n"/>
      <c r="F27" s="119" t="n"/>
    </row>
    <row hidden="false" ht="15.75" outlineLevel="0" r="28">
      <c r="A28" s="20" t="n"/>
      <c r="B28" s="3132" t="s">
        <v>220</v>
      </c>
      <c r="C28" s="3133" t="n"/>
      <c r="D28" s="3133" t="n"/>
      <c r="E28" s="3133" t="n"/>
      <c r="F28" s="20" t="s">
        <v>270</v>
      </c>
    </row>
    <row hidden="false" ht="15.75" outlineLevel="0" r="29">
      <c r="A29" s="17" t="n">
        <v>1</v>
      </c>
      <c r="B29" s="3134" t="s">
        <v>222</v>
      </c>
      <c r="C29" s="3135" t="n"/>
      <c r="D29" s="3135" t="n"/>
      <c r="E29" s="3135" t="n"/>
      <c r="F29" s="285" t="n">
        <f aca="false" ca="false" dt2D="false" dtr="false" t="normal">SUM(F30:F31)</f>
        <v>102242.06228513761</v>
      </c>
    </row>
    <row customHeight="true" hidden="false" ht="36" outlineLevel="0" r="30">
      <c r="A30" s="17" t="n"/>
      <c r="B30" s="144" t="s">
        <v>223</v>
      </c>
      <c r="C30" s="3271" t="s"/>
      <c r="D30" s="3272" t="s"/>
      <c r="E30" s="3273" t="s"/>
      <c r="F30" s="285" t="n">
        <f aca="false" ca="false" dt2D="false" dtr="false" t="normal">(15990207-C12)*1.302/218</f>
        <v>94443.89714752293</v>
      </c>
    </row>
    <row customHeight="true" hidden="false" ht="27.75" outlineLevel="0" r="31">
      <c r="A31" s="17" t="n"/>
      <c r="B31" s="144" t="s">
        <v>224</v>
      </c>
      <c r="C31" s="3276" t="s"/>
      <c r="D31" s="3277" t="s"/>
      <c r="E31" s="3278" t="s"/>
      <c r="F31" s="285" t="n">
        <f aca="false" ca="false" dt2D="false" dtr="false" t="normal">(200000+1500000)/218</f>
        <v>7798.165137614679</v>
      </c>
    </row>
    <row customHeight="true" hidden="false" ht="15.75" outlineLevel="0" r="32">
      <c r="A32" s="17" t="n">
        <v>2</v>
      </c>
      <c r="B32" s="144" t="s">
        <v>225</v>
      </c>
      <c r="C32" s="3279" t="s"/>
      <c r="D32" s="3280" t="s"/>
      <c r="E32" s="3281" t="s"/>
      <c r="F32" s="285" t="n">
        <f aca="false" ca="false" dt2D="false" dtr="false" t="normal">SUM(F33:F34)</f>
        <v>68104.96788990825</v>
      </c>
    </row>
    <row customHeight="true" hidden="false" ht="15.75" outlineLevel="0" r="33">
      <c r="A33" s="17" t="n"/>
      <c r="B33" s="310" t="s">
        <v>227</v>
      </c>
      <c r="C33" s="3282" t="s"/>
      <c r="D33" s="3283" t="s"/>
      <c r="E33" s="3284" t="s"/>
      <c r="F33" s="285" t="n">
        <f aca="false" ca="false" dt2D="false" dtr="false" t="normal">2000000/218</f>
        <v>9174.311926605504</v>
      </c>
    </row>
    <row customHeight="true" hidden="false" ht="15.75" outlineLevel="0" r="34">
      <c r="A34" s="17" t="n"/>
      <c r="B34" s="310" t="s">
        <v>228</v>
      </c>
      <c r="C34" s="3285" t="s"/>
      <c r="D34" s="3286" t="s"/>
      <c r="E34" s="3287" t="s"/>
      <c r="F34" s="285" t="n">
        <f aca="false" ca="false" dt2D="false" dtr="false" t="normal">(8246883+3800000+800000)/218</f>
        <v>58930.65596330275</v>
      </c>
    </row>
    <row customHeight="true" hidden="false" ht="15.75" outlineLevel="0" r="35">
      <c r="A35" s="17" t="n">
        <v>3</v>
      </c>
      <c r="B35" s="144" t="s">
        <v>230</v>
      </c>
      <c r="C35" s="3288" t="s"/>
      <c r="D35" s="3289" t="s"/>
      <c r="E35" s="3290" t="s"/>
      <c r="F35" s="285" t="n">
        <f aca="false" ca="false" dt2D="false" dtr="false" t="normal">G25</f>
        <v>507.924</v>
      </c>
    </row>
    <row customHeight="true" hidden="false" ht="15.75" outlineLevel="0" r="36">
      <c r="A36" s="17" t="n"/>
      <c r="B36" s="276" t="s">
        <v>183</v>
      </c>
      <c r="C36" s="3294" t="s"/>
      <c r="D36" s="3295" t="s"/>
      <c r="E36" s="3296" t="s"/>
      <c r="F36" s="285" t="n">
        <f aca="false" ca="false" dt2D="false" dtr="false" t="normal">F32+F35</f>
        <v>68612.89188990825</v>
      </c>
    </row>
    <row customHeight="true" hidden="false" ht="15.75" outlineLevel="0" r="37">
      <c r="A37" s="17" t="n">
        <v>4</v>
      </c>
      <c r="B37" s="144" t="s">
        <v>231</v>
      </c>
      <c r="C37" s="3291" t="s"/>
      <c r="D37" s="3292" t="s"/>
      <c r="E37" s="3293" t="s"/>
      <c r="F37" s="285" t="n">
        <f aca="false" ca="false" dt2D="false" dtr="false" t="normal">SUM(C12)</f>
        <v>177019.92</v>
      </c>
    </row>
    <row customHeight="true" hidden="false" ht="15.75" outlineLevel="0" r="38">
      <c r="A38" s="17" t="n">
        <v>5</v>
      </c>
      <c r="B38" s="276" t="s">
        <v>234</v>
      </c>
      <c r="C38" s="3297" t="s"/>
      <c r="D38" s="3298" t="s"/>
      <c r="E38" s="3299" t="s"/>
      <c r="F38" s="285" t="n">
        <f aca="false" ca="false" dt2D="false" dtr="false" t="normal">(F29+F32+F35)/F37</f>
        <v>0.965173604050018</v>
      </c>
    </row>
    <row customHeight="true" hidden="false" ht="15.75" outlineLevel="0" r="39">
      <c r="A39" s="17" t="n">
        <f aca="false" ca="false" dt2D="false" dtr="false" t="normal">SUM(A38+1)</f>
        <v>6</v>
      </c>
      <c r="B39" s="144" t="s">
        <v>235</v>
      </c>
      <c r="C39" s="3300" t="s"/>
      <c r="D39" s="3301" t="s"/>
      <c r="E39" s="3302" t="s"/>
      <c r="F39" s="285" t="n">
        <f aca="false" ca="false" dt2D="false" dtr="false" t="normal">SUM(F12)</f>
        <v>12166.099575</v>
      </c>
    </row>
    <row hidden="false" ht="15.75" outlineLevel="0" r="40">
      <c r="A40" s="383" t="n"/>
      <c r="B40" s="3134" t="s">
        <v>236</v>
      </c>
      <c r="C40" s="3135" t="n"/>
      <c r="D40" s="3135" t="n"/>
      <c r="E40" s="3184" t="n"/>
      <c r="F40" s="395" t="n">
        <f aca="false" ca="false" dt2D="false" dtr="false" t="normal">SUM(F39*F38)</f>
        <v>11742.398174034142</v>
      </c>
    </row>
    <row customHeight="true" hidden="false" ht="63" outlineLevel="0" r="42">
      <c r="A42" s="146" t="s">
        <v>289</v>
      </c>
      <c r="B42" s="3230" t="s"/>
      <c r="C42" s="3231" t="s"/>
      <c r="D42" s="3232" t="s"/>
      <c r="E42" s="3233" t="s"/>
      <c r="F42" s="3234" t="s"/>
    </row>
    <row customHeight="true" hidden="false" ht="15.75" outlineLevel="0" r="43">
      <c r="A43" s="169" t="s">
        <v>239</v>
      </c>
      <c r="B43" s="169" t="s">
        <v>240</v>
      </c>
      <c r="C43" s="3235" t="s"/>
      <c r="D43" s="3236" t="s"/>
      <c r="E43" s="3237" t="s"/>
      <c r="F43" s="417" t="s">
        <v>241</v>
      </c>
    </row>
    <row customHeight="true" hidden="false" ht="15.75" outlineLevel="0" r="44">
      <c r="A44" s="67" t="n">
        <v>1</v>
      </c>
      <c r="B44" s="177" t="s">
        <v>242</v>
      </c>
      <c r="C44" s="3238" t="s"/>
      <c r="D44" s="3239" t="s"/>
      <c r="E44" s="3240" t="s"/>
      <c r="F44" s="434" t="n">
        <f aca="false" ca="false" dt2D="false" dtr="false" t="normal">SUM(F12)</f>
        <v>12166.099575</v>
      </c>
    </row>
    <row customHeight="true" hidden="false" ht="15.75" outlineLevel="0" r="45">
      <c r="A45" s="67" t="n">
        <v>2</v>
      </c>
      <c r="B45" s="189" t="s">
        <v>243</v>
      </c>
      <c r="C45" s="3241" t="s"/>
      <c r="D45" s="3242" t="s"/>
      <c r="E45" s="3243" t="s"/>
      <c r="F45" s="434" t="n">
        <f aca="false" ca="false" dt2D="false" dtr="false" t="normal">SUM(F18)</f>
        <v>103.37</v>
      </c>
    </row>
    <row customHeight="true" hidden="false" ht="40.5" outlineLevel="0" r="46">
      <c r="A46" s="67" t="n">
        <v>3</v>
      </c>
      <c r="B46" s="177" t="s">
        <v>244</v>
      </c>
      <c r="C46" s="3244" t="s"/>
      <c r="D46" s="3245" t="s"/>
      <c r="E46" s="3246" t="s"/>
      <c r="F46" s="434" t="n">
        <f aca="false" ca="false" dt2D="false" dtr="false" t="normal">SUM(G25)</f>
        <v>507.924</v>
      </c>
    </row>
    <row customHeight="true" hidden="false" ht="15.75" outlineLevel="0" r="47">
      <c r="A47" s="67" t="n">
        <v>4</v>
      </c>
      <c r="B47" s="177" t="s">
        <v>245</v>
      </c>
      <c r="C47" s="3247" t="s"/>
      <c r="D47" s="3248" t="s"/>
      <c r="E47" s="3249" t="s"/>
      <c r="F47" s="434" t="n">
        <f aca="false" ca="false" dt2D="false" dtr="false" t="normal">SUM(F40)</f>
        <v>11742.398174034142</v>
      </c>
    </row>
    <row customHeight="true" hidden="false" ht="15.75" outlineLevel="0" r="48">
      <c r="A48" s="67" t="n">
        <v>5</v>
      </c>
      <c r="B48" s="189" t="s">
        <v>247</v>
      </c>
      <c r="C48" s="3250" t="s"/>
      <c r="D48" s="3251" t="s"/>
      <c r="E48" s="3252" t="s"/>
      <c r="F48" s="434" t="n">
        <f aca="false" ca="false" dt2D="false" dtr="false" t="normal">SUM(F44:F47)</f>
        <v>24519.791749034142</v>
      </c>
    </row>
    <row customHeight="true" hidden="false" ht="15.75" outlineLevel="0" r="49">
      <c r="A49" s="67" t="n">
        <v>6</v>
      </c>
      <c r="B49" s="189" t="s">
        <v>208</v>
      </c>
      <c r="C49" s="3254" t="s"/>
      <c r="D49" s="3255" t="s"/>
      <c r="E49" s="3256" t="s"/>
      <c r="F49" s="434" t="n">
        <f aca="false" ca="false" dt2D="false" dtr="false" t="normal">SUM(F48*0.22)</f>
        <v>5394.354184787511</v>
      </c>
    </row>
    <row customHeight="true" hidden="false" ht="15.75" outlineLevel="0" r="50">
      <c r="A50" s="67" t="n"/>
      <c r="B50" s="177" t="s">
        <v>211</v>
      </c>
      <c r="C50" s="3261" t="s"/>
      <c r="D50" s="3262" t="s"/>
      <c r="E50" s="3263" t="s"/>
      <c r="F50" s="512" t="n">
        <f aca="false" ca="false" dt2D="false" dtr="false" t="normal">SUM(F48:F49)-14</f>
        <v>29900.145933821652</v>
      </c>
    </row>
    <row hidden="false" ht="15.75" outlineLevel="0" r="51">
      <c r="B51" s="4" t="n"/>
      <c r="C51" s="4" t="n"/>
      <c r="D51" s="4" t="n"/>
      <c r="E51" s="4" t="n"/>
      <c r="F51" s="4" t="n"/>
    </row>
    <row hidden="false" ht="15.75" outlineLevel="0" r="52">
      <c r="B52" s="4" t="n"/>
      <c r="C52" s="4" t="n"/>
      <c r="D52" s="4" t="n"/>
      <c r="E52" s="4" t="n"/>
      <c r="F52" s="4" t="n"/>
    </row>
    <row hidden="false" ht="15.75" outlineLevel="0" r="53">
      <c r="B53" s="4" t="n"/>
      <c r="C53" s="4" t="n"/>
      <c r="D53" s="4" t="n"/>
      <c r="E53" s="4" t="n"/>
      <c r="F53" s="4" t="n"/>
    </row>
    <row hidden="false" ht="15.75" outlineLevel="0" r="54">
      <c r="B54" s="4" t="n"/>
      <c r="C54" s="4" t="n"/>
      <c r="D54" s="4" t="n"/>
      <c r="E54" s="4" t="n"/>
      <c r="F54" s="4" t="n"/>
    </row>
    <row hidden="false" ht="15.75" outlineLevel="0" r="55">
      <c r="B55" s="4" t="n"/>
      <c r="C55" s="4" t="n"/>
      <c r="D55" s="4" t="n"/>
      <c r="E55" s="4" t="n"/>
      <c r="F55" s="4" t="n"/>
    </row>
    <row hidden="false" ht="15.75" outlineLevel="0" r="56">
      <c r="B56" s="4" t="n"/>
      <c r="C56" s="4" t="n"/>
      <c r="D56" s="4" t="n"/>
      <c r="E56" s="4" t="n"/>
      <c r="F56" s="4" t="n"/>
    </row>
    <row hidden="false" ht="15.75" outlineLevel="0" r="57">
      <c r="B57" s="4" t="n"/>
      <c r="C57" s="4" t="n"/>
      <c r="D57" s="4" t="n"/>
      <c r="E57" s="4" t="n"/>
      <c r="F57" s="4" t="n"/>
    </row>
    <row hidden="false" ht="15.75" outlineLevel="0" r="58">
      <c r="B58" s="4" t="n"/>
      <c r="C58" s="4" t="n"/>
      <c r="D58" s="4" t="n"/>
      <c r="E58" s="4" t="n"/>
      <c r="F58" s="4" t="n"/>
    </row>
    <row hidden="false" ht="15.75" outlineLevel="0" r="59">
      <c r="B59" s="4" t="n"/>
      <c r="C59" s="4" t="n"/>
      <c r="D59" s="4" t="n"/>
      <c r="E59" s="4" t="n"/>
      <c r="F59" s="4" t="n"/>
    </row>
    <row hidden="false" ht="15.75" outlineLevel="0" r="60">
      <c r="B60" s="4" t="n"/>
      <c r="C60" s="4" t="n"/>
      <c r="D60" s="4" t="n"/>
      <c r="E60" s="4" t="n"/>
      <c r="F60" s="4" t="n"/>
    </row>
    <row hidden="false" ht="15.75" outlineLevel="0" r="61">
      <c r="B61" s="4" t="n"/>
      <c r="C61" s="4" t="n"/>
      <c r="D61" s="4" t="n"/>
      <c r="E61" s="4" t="n"/>
      <c r="F61" s="4" t="n"/>
    </row>
    <row hidden="false" ht="15.75" outlineLevel="0" r="62">
      <c r="B62" s="4" t="n"/>
      <c r="C62" s="4" t="n"/>
      <c r="D62" s="4" t="n"/>
      <c r="E62" s="4" t="n"/>
      <c r="F62" s="4" t="n"/>
    </row>
    <row hidden="false" ht="15.75" outlineLevel="0" r="63">
      <c r="B63" s="4" t="n"/>
      <c r="C63" s="4" t="n"/>
      <c r="D63" s="4" t="n"/>
      <c r="E63" s="4" t="n"/>
      <c r="F63" s="4" t="n"/>
    </row>
    <row hidden="false" ht="15.75" outlineLevel="0" r="64">
      <c r="B64" s="4" t="n"/>
      <c r="C64" s="4" t="n"/>
      <c r="D64" s="4" t="n"/>
      <c r="E64" s="4" t="n"/>
      <c r="F64" s="4" t="n"/>
    </row>
    <row hidden="false" ht="15.75" outlineLevel="0" r="65">
      <c r="B65" s="4" t="n"/>
      <c r="C65" s="4" t="n"/>
      <c r="D65" s="4" t="n"/>
      <c r="E65" s="4" t="n"/>
      <c r="F65" s="4" t="n"/>
    </row>
    <row hidden="false" ht="15.75" outlineLevel="0" r="66">
      <c r="B66" s="4" t="n"/>
      <c r="C66" s="4" t="n"/>
      <c r="D66" s="4" t="n"/>
      <c r="E66" s="4" t="n"/>
      <c r="F66" s="4" t="n"/>
    </row>
    <row hidden="false" ht="15.75" outlineLevel="0" r="67">
      <c r="B67" s="4" t="n"/>
      <c r="C67" s="4" t="n"/>
      <c r="D67" s="4" t="n"/>
      <c r="E67" s="4" t="n"/>
      <c r="F67" s="4" t="n"/>
    </row>
    <row hidden="false" ht="15.75" outlineLevel="0" r="68">
      <c r="B68" s="4" t="n"/>
      <c r="C68" s="4" t="n"/>
      <c r="D68" s="4" t="n"/>
      <c r="E68" s="4" t="n"/>
      <c r="F68" s="4" t="n"/>
    </row>
    <row hidden="false" ht="15.75" outlineLevel="0" r="69">
      <c r="B69" s="4" t="n"/>
      <c r="C69" s="4" t="n"/>
      <c r="D69" s="4" t="n"/>
      <c r="E69" s="4" t="n"/>
      <c r="F69" s="4" t="n"/>
    </row>
    <row hidden="false" ht="15.75" outlineLevel="0" r="70">
      <c r="B70" s="4" t="n"/>
      <c r="C70" s="4" t="n"/>
      <c r="D70" s="4" t="n"/>
      <c r="E70" s="4" t="n"/>
      <c r="F70" s="4" t="n"/>
    </row>
    <row hidden="false" ht="15.75" outlineLevel="0" r="71">
      <c r="B71" s="4" t="n"/>
      <c r="C71" s="4" t="n"/>
      <c r="D71" s="4" t="n"/>
      <c r="E71" s="4" t="n"/>
      <c r="F71" s="4" t="n"/>
    </row>
    <row hidden="false" ht="15.75" outlineLevel="0" r="72">
      <c r="B72" s="4" t="n"/>
      <c r="C72" s="4" t="n"/>
      <c r="D72" s="4" t="n"/>
      <c r="E72" s="4" t="n"/>
      <c r="F72" s="4" t="n"/>
    </row>
    <row hidden="false" ht="15.75" outlineLevel="0" r="73">
      <c r="B73" s="4" t="n"/>
      <c r="C73" s="4" t="n"/>
      <c r="D73" s="4" t="n"/>
      <c r="E73" s="4" t="n"/>
      <c r="F73" s="4" t="n"/>
    </row>
    <row hidden="false" ht="15.75" outlineLevel="0" r="74">
      <c r="B74" s="4" t="n"/>
      <c r="C74" s="4" t="n"/>
      <c r="D74" s="4" t="n"/>
      <c r="E74" s="4" t="n"/>
      <c r="F74" s="4" t="n"/>
    </row>
    <row hidden="false" ht="15.75" outlineLevel="0" r="75">
      <c r="B75" s="4" t="n"/>
      <c r="C75" s="4" t="n"/>
      <c r="D75" s="4" t="n"/>
      <c r="E75" s="4" t="n"/>
      <c r="F75" s="4" t="n"/>
    </row>
    <row hidden="false" ht="15.75" outlineLevel="0" r="76">
      <c r="B76" s="4" t="n"/>
      <c r="C76" s="4" t="n"/>
      <c r="D76" s="4" t="n"/>
      <c r="E76" s="4" t="n"/>
      <c r="F76" s="4" t="n"/>
    </row>
    <row hidden="false" ht="15.75" outlineLevel="0" r="77">
      <c r="B77" s="4" t="n"/>
      <c r="C77" s="4" t="n"/>
      <c r="D77" s="4" t="n"/>
      <c r="E77" s="4" t="n"/>
      <c r="F77" s="4" t="n"/>
    </row>
    <row hidden="false" ht="15.75" outlineLevel="0" r="78">
      <c r="B78" s="4" t="n"/>
      <c r="C78" s="4" t="n"/>
      <c r="D78" s="4" t="n"/>
      <c r="E78" s="4" t="n"/>
      <c r="F78" s="4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21">
    <mergeCell ref="A7:F7"/>
    <mergeCell ref="B14:F14"/>
    <mergeCell ref="B30:E30"/>
    <mergeCell ref="B31:E31"/>
    <mergeCell ref="B50:E50"/>
    <mergeCell ref="B49:E49"/>
    <mergeCell ref="B48:E48"/>
    <mergeCell ref="B47:E47"/>
    <mergeCell ref="B46:E46"/>
    <mergeCell ref="B45:E45"/>
    <mergeCell ref="B44:E44"/>
    <mergeCell ref="B43:E43"/>
    <mergeCell ref="A42:F42"/>
    <mergeCell ref="B32:E32"/>
    <mergeCell ref="B33:E33"/>
    <mergeCell ref="B34:E34"/>
    <mergeCell ref="B35:E35"/>
    <mergeCell ref="B36:E36"/>
    <mergeCell ref="B37:E37"/>
    <mergeCell ref="B38:E38"/>
    <mergeCell ref="B39:E39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1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W85"/>
  <sheetViews>
    <sheetView showZeros="true" workbookViewId="0"/>
  </sheetViews>
  <sheetFormatPr baseColWidth="8" customHeight="false" defaultColWidth="9.01358353688254" defaultRowHeight="15.75" zeroHeight="false"/>
  <cols>
    <col customWidth="true" hidden="false" max="1" min="1" outlineLevel="0" style="4" width="3.51202187927726"/>
    <col customWidth="true" hidden="false" max="2" min="2" outlineLevel="0" style="4" width="26.9123473888439"/>
    <col customWidth="true" hidden="false" max="3" min="3" outlineLevel="0" style="4" width="17.1852310480166"/>
    <col customWidth="true" hidden="false" max="4" min="4" outlineLevel="0" style="4" width="17.4614577692698"/>
    <col customWidth="true" hidden="false" max="5" min="5" outlineLevel="0" style="4" width="15.074072288431"/>
    <col customWidth="true" hidden="false" max="6" min="6" outlineLevel="0" style="4" width="15.9126168705711"/>
    <col customWidth="true" hidden="false" max="7" min="7" outlineLevel="0" style="4" width="17.6094362249416"/>
    <col customWidth="true" hidden="false" max="8" min="8" outlineLevel="0" style="4" width="16.1987080102048"/>
    <col bestFit="true" customWidth="true" hidden="false" max="257" min="9" outlineLevel="0" style="4" width="9.01682070093331"/>
  </cols>
  <sheetData>
    <row hidden="false" ht="15.75" outlineLevel="0" r="2">
      <c r="F2" s="101" t="s">
        <v>175</v>
      </c>
      <c r="H2" s="101" t="n"/>
    </row>
    <row hidden="false" ht="15.75" outlineLevel="0" r="3">
      <c r="F3" s="105" t="s">
        <v>176</v>
      </c>
    </row>
    <row hidden="false" ht="15.75" outlineLevel="0" r="4">
      <c r="F4" s="101" t="s">
        <v>226</v>
      </c>
      <c r="H4" s="101" t="n"/>
    </row>
    <row hidden="false" ht="15.75" outlineLevel="0" r="5">
      <c r="F5" s="105" t="s">
        <v>178</v>
      </c>
      <c r="H5" s="105" t="n"/>
    </row>
    <row customHeight="true" hidden="false" ht="42.75" outlineLevel="0" r="7">
      <c r="B7" s="3304" t="s">
        <v>291</v>
      </c>
      <c r="C7" s="3304" t="s"/>
      <c r="D7" s="3304" t="s"/>
      <c r="E7" s="3304" t="s"/>
      <c r="F7" s="3304" t="s"/>
      <c r="G7" s="3304" t="s"/>
      <c r="H7" s="3305" t="n"/>
    </row>
    <row customHeight="true" hidden="false" ht="10.5" outlineLevel="0" r="8">
      <c r="B8" s="3306" t="n"/>
      <c r="C8" s="3306" t="s"/>
      <c r="D8" s="3306" t="s"/>
      <c r="E8" s="3306" t="s"/>
      <c r="F8" s="3306" t="s"/>
      <c r="G8" s="3306" t="s"/>
      <c r="H8" s="3306" t="s"/>
    </row>
    <row customHeight="true" hidden="false" ht="19.5" outlineLevel="0" r="9">
      <c r="B9" s="101" t="s">
        <v>292</v>
      </c>
    </row>
    <row customHeight="true" hidden="false" ht="130.5" outlineLevel="0" r="10">
      <c r="A10" s="124" t="n"/>
      <c r="B10" s="129" t="s">
        <v>184</v>
      </c>
      <c r="C10" s="3309" t="s"/>
      <c r="D10" s="259" t="s">
        <v>233</v>
      </c>
      <c r="E10" s="259" t="s">
        <v>186</v>
      </c>
      <c r="F10" s="259" t="s">
        <v>187</v>
      </c>
      <c r="G10" s="129" t="s">
        <v>266</v>
      </c>
    </row>
    <row customHeight="true" hidden="false" ht="15.75" outlineLevel="0" r="11">
      <c r="A11" s="17" t="n">
        <v>1</v>
      </c>
      <c r="B11" s="32" t="s">
        <v>294</v>
      </c>
      <c r="C11" s="3313" t="s"/>
      <c r="D11" s="3314" t="n">
        <f aca="false" ca="false" dt2D="false" dtr="false" t="normal">68946*1.302</f>
        <v>89767.69200000001</v>
      </c>
      <c r="E11" s="3314" t="n">
        <f aca="false" ca="false" dt2D="false" dtr="false" t="normal">1971/12*60</f>
        <v>9855</v>
      </c>
      <c r="F11" s="3314" t="n">
        <f aca="false" ca="false" dt2D="false" dtr="false" t="normal">5*60</f>
        <v>300</v>
      </c>
      <c r="G11" s="3315" t="n">
        <f aca="false" ca="false" dt2D="false" dtr="false" t="normal">D11/E11*F11</f>
        <v>2732.6542465753423</v>
      </c>
      <c r="J11" s="4" t="n">
        <f aca="false" ca="false" dt2D="false" dtr="false" t="normal">SUM(300/60)</f>
        <v>5</v>
      </c>
    </row>
    <row customHeight="true" hidden="false" ht="16.5" outlineLevel="0" r="12">
      <c r="A12" s="17" t="n">
        <v>2</v>
      </c>
      <c r="B12" s="32" t="s">
        <v>304</v>
      </c>
      <c r="C12" s="3317" t="s"/>
      <c r="D12" s="3314" t="n">
        <f aca="false" ca="false" dt2D="false" dtr="false" t="normal">74388*1.302</f>
        <v>96853.176</v>
      </c>
      <c r="E12" s="3314" t="n">
        <f aca="false" ca="false" dt2D="false" dtr="false" t="normal">1971/12*60</f>
        <v>9855</v>
      </c>
      <c r="F12" s="3314" t="n">
        <f aca="false" ca="false" dt2D="false" dtr="false" t="normal">5*60</f>
        <v>300</v>
      </c>
      <c r="G12" s="3315" t="n">
        <f aca="false" ca="false" dt2D="false" dtr="false" t="normal">D12/E12*F12</f>
        <v>2948.3463013698633</v>
      </c>
    </row>
    <row customHeight="true" hidden="false" ht="15.75" outlineLevel="0" r="13">
      <c r="A13" s="124" t="n"/>
      <c r="B13" s="32" t="s">
        <v>183</v>
      </c>
      <c r="C13" s="3322" t="s"/>
      <c r="D13" s="3314" t="n">
        <f aca="false" ca="false" dt2D="false" dtr="false" t="normal">SUM(D11:D12)</f>
        <v>186620.86800000002</v>
      </c>
      <c r="E13" s="3314" t="n">
        <f aca="false" ca="false" dt2D="false" dtr="false" t="normal">SUM(E11:E12)</f>
        <v>19710</v>
      </c>
      <c r="F13" s="3314" t="n">
        <f aca="false" ca="false" dt2D="false" dtr="false" t="normal">SUM(F11:F12)</f>
        <v>600</v>
      </c>
      <c r="G13" s="3324" t="n">
        <f aca="false" ca="false" dt2D="false" dtr="false" t="normal">SUM(G11:G12)</f>
        <v>5681.000547945206</v>
      </c>
    </row>
    <row hidden="false" ht="15.75" outlineLevel="0" r="14">
      <c r="A14" s="4" t="n"/>
      <c r="B14" s="188" t="n"/>
      <c r="C14" s="188" t="n"/>
      <c r="E14" s="119" t="n"/>
      <c r="F14" s="119" t="n"/>
      <c r="G14" s="119" t="n"/>
      <c r="H14" s="119" t="n"/>
    </row>
    <row hidden="false" ht="15.75" outlineLevel="0" r="15">
      <c r="B15" s="101" t="s">
        <v>306</v>
      </c>
    </row>
    <row customHeight="true" hidden="false" ht="120.75" outlineLevel="0" r="16">
      <c r="A16" s="124" t="n"/>
      <c r="B16" s="259" t="s">
        <v>307</v>
      </c>
      <c r="C16" s="259" t="s">
        <v>184</v>
      </c>
      <c r="D16" s="129" t="s">
        <v>308</v>
      </c>
      <c r="E16" s="129" t="s">
        <v>186</v>
      </c>
      <c r="F16" s="129" t="s">
        <v>187</v>
      </c>
      <c r="G16" s="3327" t="s"/>
      <c r="H16" s="129" t="s">
        <v>310</v>
      </c>
    </row>
    <row customHeight="true" hidden="false" ht="45.75" outlineLevel="0" r="17">
      <c r="A17" s="17" t="n">
        <v>1</v>
      </c>
      <c r="B17" s="3329" t="s">
        <v>312</v>
      </c>
      <c r="C17" s="3204" t="s">
        <v>313</v>
      </c>
      <c r="D17" s="3314" t="n">
        <v>49193</v>
      </c>
      <c r="E17" s="3178" t="n">
        <f aca="false" ca="false" dt2D="false" dtr="false" t="normal">SUM(22*8)*60</f>
        <v>10560</v>
      </c>
      <c r="F17" s="106" t="n">
        <f aca="false" ca="false" dt2D="false" dtr="false" t="normal">H37*60</f>
        <v>10251.841381090908</v>
      </c>
      <c r="G17" s="3333" t="s"/>
      <c r="H17" s="3334" t="n">
        <f aca="false" ca="false" dt2D="false" dtr="false" t="normal">D17/E17*F17</f>
        <v>47757.46525189441</v>
      </c>
    </row>
    <row customHeight="true" hidden="false" ht="15.75" outlineLevel="0" r="18">
      <c r="A18" s="124" t="n"/>
      <c r="B18" s="32" t="s">
        <v>183</v>
      </c>
      <c r="C18" s="3336" t="s"/>
      <c r="D18" s="3178" t="n"/>
      <c r="E18" s="3178" t="n"/>
      <c r="F18" s="106" t="n"/>
      <c r="G18" s="3337" t="s"/>
      <c r="H18" s="3324" t="n">
        <f aca="false" ca="false" dt2D="false" dtr="false" t="normal">SUM(H17)</f>
        <v>47757.46525189441</v>
      </c>
    </row>
    <row customHeight="true" hidden="false" ht="15.75" outlineLevel="0" r="19">
      <c r="A19" s="4" t="n"/>
      <c r="B19" s="3339" t="s">
        <v>316</v>
      </c>
      <c r="C19" s="3340" t="s"/>
      <c r="D19" s="3341" t="s"/>
      <c r="E19" s="3342" t="s"/>
      <c r="F19" s="3343" t="s"/>
      <c r="G19" s="3344" t="s"/>
      <c r="H19" s="558" t="n"/>
    </row>
    <row customHeight="true" hidden="false" ht="49.5" outlineLevel="0" r="20">
      <c r="B20" s="188" t="s">
        <v>317</v>
      </c>
      <c r="C20" s="188" t="s"/>
      <c r="D20" s="188" t="s"/>
      <c r="E20" s="188" t="s"/>
      <c r="F20" s="188" t="s"/>
      <c r="G20" s="188" t="s"/>
      <c r="H20" s="143" t="n"/>
    </row>
    <row customHeight="true" hidden="false" ht="15.75" outlineLevel="0" r="21">
      <c r="B21" s="188" t="n"/>
      <c r="C21" s="188" t="n"/>
      <c r="D21" s="188" t="n"/>
      <c r="E21" s="188" t="n"/>
      <c r="F21" s="188" t="n"/>
      <c r="G21" s="188" t="n"/>
      <c r="H21" s="188" t="n"/>
    </row>
    <row hidden="false" ht="15.75" outlineLevel="0" r="22">
      <c r="B22" s="105" t="s">
        <v>318</v>
      </c>
      <c r="C22" s="105" t="n"/>
      <c r="D22" s="105" t="n"/>
      <c r="E22" s="105" t="n"/>
      <c r="F22" s="105" t="n"/>
      <c r="G22" s="105" t="n"/>
      <c r="H22" s="105" t="n"/>
    </row>
    <row hidden="false" ht="15.75" outlineLevel="0" r="23">
      <c r="A23" s="3349" t="s">
        <v>319</v>
      </c>
      <c r="B23" s="3134" t="n"/>
      <c r="C23" s="3135" t="n"/>
      <c r="D23" s="3135" t="n"/>
      <c r="E23" s="3135" t="n"/>
      <c r="F23" s="3184" t="n"/>
      <c r="G23" s="17" t="n">
        <v>61620</v>
      </c>
      <c r="H23" s="17" t="s">
        <v>320</v>
      </c>
    </row>
    <row hidden="false" ht="15.75" outlineLevel="0" r="24">
      <c r="A24" s="276" t="s">
        <v>322</v>
      </c>
      <c r="B24" s="3350" t="n"/>
      <c r="C24" s="3351" t="n"/>
      <c r="D24" s="3351" t="n"/>
      <c r="E24" s="3351" t="n"/>
      <c r="F24" s="3351" t="n"/>
      <c r="G24" s="17" t="n">
        <v>136</v>
      </c>
      <c r="H24" s="17" t="s">
        <v>207</v>
      </c>
    </row>
    <row hidden="false" ht="15.75" outlineLevel="0" r="25">
      <c r="A25" s="3134" t="s">
        <v>323</v>
      </c>
      <c r="B25" s="3135" t="n"/>
      <c r="C25" s="3135" t="n"/>
      <c r="D25" s="3135" t="n"/>
      <c r="E25" s="3135" t="n"/>
      <c r="F25" s="3135" t="n"/>
      <c r="G25" s="3353" t="n">
        <f aca="false" ca="false" dt2D="false" dtr="false" t="normal">SUM(G23/G24)</f>
        <v>453.0882352941176</v>
      </c>
      <c r="H25" s="17" t="s">
        <v>324</v>
      </c>
    </row>
    <row hidden="false" ht="15.75" outlineLevel="0" r="26">
      <c r="A26" s="3134" t="s">
        <v>325</v>
      </c>
      <c r="B26" s="3135" t="n"/>
      <c r="C26" s="3135" t="n"/>
      <c r="D26" s="3135" t="n"/>
      <c r="E26" s="3135" t="n"/>
      <c r="F26" s="3135" t="n"/>
      <c r="G26" s="3353" t="n">
        <f aca="false" ca="false" dt2D="false" dtr="false" t="normal">SQRT(G25/3.14)</f>
        <v>12.012311032257958</v>
      </c>
      <c r="H26" s="17" t="s">
        <v>326</v>
      </c>
    </row>
    <row hidden="false" ht="15.75" outlineLevel="0" r="27">
      <c r="A27" s="3358" t="s">
        <v>327</v>
      </c>
      <c r="B27" s="3359" t="n"/>
      <c r="C27" s="3359" t="n"/>
      <c r="D27" s="3359" t="n"/>
      <c r="E27" s="3359" t="n"/>
      <c r="F27" s="3359" t="n"/>
      <c r="G27" s="3361" t="n">
        <f aca="false" ca="false" dt2D="false" dtr="false" t="normal">2*G26</f>
        <v>24.024622064515917</v>
      </c>
      <c r="H27" s="20" t="s">
        <v>326</v>
      </c>
    </row>
    <row hidden="false" ht="15.75" outlineLevel="0" r="28">
      <c r="B28" s="3" t="n"/>
    </row>
    <row hidden="false" ht="15.75" outlineLevel="0" r="29">
      <c r="B29" s="5" t="s">
        <v>328</v>
      </c>
    </row>
    <row customHeight="true" hidden="false" ht="29.25" outlineLevel="0" r="30">
      <c r="B30" s="3365" t="s">
        <v>329</v>
      </c>
      <c r="C30" s="3365" t="s"/>
      <c r="D30" s="3365" t="s"/>
      <c r="E30" s="3365" t="s"/>
      <c r="F30" s="3365" t="s"/>
      <c r="G30" s="3365" t="s"/>
      <c r="H30" s="3365" t="s"/>
    </row>
    <row customHeight="true" hidden="false" ht="52.5" outlineLevel="0" r="31">
      <c r="B31" s="519" t="s">
        <v>330</v>
      </c>
      <c r="C31" s="519" t="s"/>
      <c r="D31" s="519" t="s"/>
      <c r="E31" s="519" t="s"/>
      <c r="F31" s="519" t="s"/>
      <c r="G31" s="519" t="s"/>
      <c r="H31" s="519" t="s"/>
    </row>
    <row hidden="false" ht="15.75" outlineLevel="0" r="32">
      <c r="B32" s="3367" t="s">
        <v>331</v>
      </c>
      <c r="C32" s="3367" t="n"/>
      <c r="D32" s="3367" t="n"/>
      <c r="E32" s="3367" t="n"/>
      <c r="F32" s="3367" t="n"/>
      <c r="G32" s="3367" t="n"/>
      <c r="H32" s="3367" t="n"/>
      <c r="L32" s="4" t="n">
        <f aca="false" ca="false" dt2D="false" dtr="false" t="normal">8*21*4</f>
        <v>672</v>
      </c>
    </row>
    <row customHeight="true" hidden="false" ht="47.25" outlineLevel="0" r="33">
      <c r="A33" s="20" t="s">
        <v>12</v>
      </c>
      <c r="B33" s="3370" t="s"/>
      <c r="C33" s="129" t="s">
        <v>297</v>
      </c>
      <c r="D33" s="3372" t="s"/>
      <c r="E33" s="129" t="s">
        <v>332</v>
      </c>
      <c r="F33" s="129" t="s">
        <v>333</v>
      </c>
      <c r="G33" s="259" t="s">
        <v>301</v>
      </c>
      <c r="H33" s="129" t="s">
        <v>334</v>
      </c>
      <c r="L33" s="4" t="n">
        <f aca="false" ca="false" dt2D="false" dtr="false" t="normal">SUM(195.03/8)</f>
        <v>24.37875</v>
      </c>
    </row>
    <row customHeight="true" hidden="false" ht="15.75" outlineLevel="0" r="34">
      <c r="A34" s="3375" t="s">
        <v>335</v>
      </c>
      <c r="B34" s="3376" t="s"/>
      <c r="C34" s="106" t="n">
        <v>672</v>
      </c>
      <c r="D34" s="3377" t="s"/>
      <c r="E34" s="3178" t="n">
        <v>4</v>
      </c>
      <c r="F34" s="3331" t="n">
        <f aca="false" ca="false" dt2D="false" dtr="false" t="normal">C34/E34</f>
        <v>168</v>
      </c>
      <c r="G34" s="3380" t="n">
        <v>1</v>
      </c>
      <c r="H34" s="3381" t="n">
        <f aca="false" ca="false" dt2D="false" dtr="false" t="normal">G34*F34</f>
        <v>168</v>
      </c>
    </row>
    <row customHeight="true" hidden="false" ht="15.75" outlineLevel="0" r="35">
      <c r="A35" s="276" t="s">
        <v>336</v>
      </c>
      <c r="B35" s="3382" t="s"/>
      <c r="C35" s="106" t="n">
        <f aca="false" ca="false" dt2D="false" dtr="false" t="normal">781.13*0.8</f>
        <v>624.904</v>
      </c>
      <c r="D35" s="3383" t="s"/>
      <c r="E35" s="3178" t="n">
        <v>55</v>
      </c>
      <c r="F35" s="3331" t="n">
        <f aca="false" ca="false" dt2D="false" dtr="false" t="normal">C35/E35</f>
        <v>11.361890909090908</v>
      </c>
      <c r="G35" s="3380" t="n">
        <v>0.13</v>
      </c>
      <c r="H35" s="3381" t="n">
        <f aca="false" ca="false" dt2D="false" dtr="false" t="normal">G35*F35</f>
        <v>1.477045818181818</v>
      </c>
    </row>
    <row hidden="false" ht="15.75" outlineLevel="0" r="36">
      <c r="A36" s="276" t="s">
        <v>337</v>
      </c>
      <c r="B36" s="3386" t="s"/>
      <c r="C36" s="106" t="n">
        <f aca="false" ca="false" dt2D="false" dtr="false" t="normal">782.13*0.3</f>
        <v>234.63899999999998</v>
      </c>
      <c r="D36" s="3387" t="s"/>
      <c r="E36" s="3178" t="n">
        <v>90</v>
      </c>
      <c r="F36" s="3331" t="n">
        <f aca="false" ca="false" dt2D="false" dtr="false" t="normal">C36/E36</f>
        <v>2.6071</v>
      </c>
      <c r="G36" s="3388" t="n">
        <v>0.532</v>
      </c>
      <c r="H36" s="3381" t="n">
        <f aca="false" ca="false" dt2D="false" dtr="false" t="normal">G36*F36</f>
        <v>1.3869772</v>
      </c>
    </row>
    <row customHeight="true" hidden="false" ht="31.5" outlineLevel="0" r="37">
      <c r="A37" s="3173" t="s">
        <v>338</v>
      </c>
      <c r="B37" s="3391" t="s"/>
      <c r="C37" s="3392" t="n"/>
      <c r="D37" s="3393" t="n"/>
      <c r="E37" s="3392" t="n"/>
      <c r="F37" s="3392" t="n"/>
      <c r="G37" s="3392" t="n"/>
      <c r="H37" s="3394" t="n">
        <f aca="false" ca="false" dt2D="false" dtr="false" t="normal">SUM(H34:H36)</f>
        <v>170.8640230181818</v>
      </c>
    </row>
    <row customHeight="true" hidden="false" ht="15.75" outlineLevel="0" r="38">
      <c r="A38" s="4" t="n"/>
      <c r="B38" s="188" t="n"/>
      <c r="C38" s="188" t="s"/>
      <c r="D38" s="119" t="n"/>
      <c r="E38" s="119" t="s"/>
      <c r="F38" s="119" t="s"/>
      <c r="G38" s="119" t="s"/>
      <c r="H38" s="119" t="n"/>
    </row>
    <row customHeight="true" hidden="false" ht="12.75" outlineLevel="0" r="39">
      <c r="A39" s="4" t="n"/>
      <c r="B39" s="444" t="s">
        <v>198</v>
      </c>
      <c r="C39" s="3399" t="s"/>
      <c r="D39" s="3400" t="s"/>
      <c r="E39" s="3401" t="s"/>
      <c r="F39" s="3402" t="s"/>
      <c r="G39" s="3403" t="s"/>
      <c r="H39" s="119" t="n"/>
    </row>
    <row customHeight="true" hidden="false" ht="56.25" outlineLevel="0" r="40">
      <c r="A40" s="196" t="n"/>
      <c r="B40" s="129" t="s">
        <v>340</v>
      </c>
      <c r="C40" s="3406" t="s"/>
      <c r="D40" s="129" t="s">
        <v>201</v>
      </c>
      <c r="E40" s="129" t="s">
        <v>202</v>
      </c>
      <c r="F40" s="129" t="s">
        <v>203</v>
      </c>
      <c r="G40" s="129" t="s">
        <v>273</v>
      </c>
      <c r="H40" s="3409" t="s"/>
    </row>
    <row customHeight="true" hidden="false" ht="15.75" outlineLevel="0" r="41">
      <c r="A41" s="17" t="n">
        <v>1</v>
      </c>
      <c r="B41" s="32" t="s">
        <v>341</v>
      </c>
      <c r="C41" s="3410" t="s"/>
      <c r="D41" s="159" t="s">
        <v>342</v>
      </c>
      <c r="E41" s="3331" t="n">
        <f aca="false" ca="false" dt2D="false" dtr="false" t="normal">H49+H50</f>
        <v>87.5976052</v>
      </c>
      <c r="F41" s="3413" t="n">
        <v>72.06</v>
      </c>
      <c r="G41" s="3414" t="n">
        <f aca="false" ca="false" dt2D="false" dtr="false" t="normal">E41*F41</f>
        <v>6312.283430712</v>
      </c>
      <c r="H41" s="3415" t="s"/>
    </row>
    <row customHeight="true" hidden="false" ht="15.75" outlineLevel="0" r="42">
      <c r="A42" s="17" t="n">
        <v>2</v>
      </c>
      <c r="B42" s="32" t="s">
        <v>343</v>
      </c>
      <c r="C42" s="3418" t="s"/>
      <c r="D42" s="159" t="s">
        <v>342</v>
      </c>
      <c r="E42" s="3331" t="n">
        <f aca="false" ca="false" dt2D="false" dtr="false" t="normal">0.05*E41</f>
        <v>4.37988026</v>
      </c>
      <c r="F42" s="3178" t="n">
        <v>400</v>
      </c>
      <c r="G42" s="3414" t="n">
        <f aca="false" ca="false" dt2D="false" dtr="false" t="normal">E42*F42</f>
        <v>1751.952104</v>
      </c>
      <c r="H42" s="3421" t="s"/>
    </row>
    <row customHeight="true" hidden="false" ht="17.25" outlineLevel="0" r="43">
      <c r="A43" s="124" t="n"/>
      <c r="B43" s="95" t="s">
        <v>183</v>
      </c>
      <c r="C43" s="3303" t="s"/>
      <c r="D43" s="3178" t="n"/>
      <c r="E43" s="3178" t="n"/>
      <c r="F43" s="3178" t="n"/>
      <c r="G43" s="3307" t="n">
        <f aca="false" ca="false" dt2D="false" dtr="false" t="normal">SUM(G41:H42)</f>
        <v>8064.235534712</v>
      </c>
      <c r="H43" s="3308" t="s"/>
    </row>
    <row customFormat="true" customHeight="true" hidden="false" ht="12" outlineLevel="0" r="44" s="3310">
      <c r="B44" s="3311" t="n"/>
      <c r="C44" s="3311" t="n"/>
      <c r="D44" s="3311" t="n"/>
      <c r="E44" s="3311" t="n"/>
      <c r="F44" s="3311" t="n"/>
      <c r="G44" s="3311" t="n"/>
      <c r="H44" s="3312" t="n"/>
    </row>
    <row hidden="false" ht="15.75" outlineLevel="0" r="45">
      <c r="B45" s="105" t="s">
        <v>293</v>
      </c>
      <c r="C45" s="105" t="n"/>
      <c r="D45" s="105" t="n"/>
      <c r="E45" s="105" t="n"/>
      <c r="F45" s="105" t="n"/>
      <c r="G45" s="105" t="n"/>
      <c r="H45" s="105" t="n"/>
    </row>
    <row customHeight="true" hidden="false" ht="29.25" outlineLevel="0" r="46">
      <c r="B46" s="188" t="s">
        <v>295</v>
      </c>
      <c r="C46" s="188" t="s"/>
      <c r="D46" s="188" t="s"/>
      <c r="E46" s="188" t="s"/>
      <c r="F46" s="188" t="s"/>
      <c r="G46" s="188" t="s"/>
      <c r="H46" s="188" t="s"/>
    </row>
    <row hidden="false" ht="15.75" outlineLevel="0" r="47">
      <c r="B47" s="4" t="s">
        <v>296</v>
      </c>
    </row>
    <row customHeight="true" hidden="false" ht="75.75" outlineLevel="0" r="48">
      <c r="A48" s="124" t="n"/>
      <c r="B48" s="3132" t="s">
        <v>12</v>
      </c>
      <c r="C48" s="129" t="s">
        <v>297</v>
      </c>
      <c r="D48" s="129" t="s">
        <v>298</v>
      </c>
      <c r="E48" s="129" t="s">
        <v>299</v>
      </c>
      <c r="F48" s="259" t="s">
        <v>300</v>
      </c>
      <c r="G48" s="129" t="s">
        <v>301</v>
      </c>
      <c r="H48" s="129" t="s">
        <v>302</v>
      </c>
    </row>
    <row customHeight="true" hidden="false" ht="36.75" outlineLevel="0" r="49">
      <c r="A49" s="17" t="n">
        <v>1</v>
      </c>
      <c r="B49" s="3204" t="s">
        <v>303</v>
      </c>
      <c r="C49" s="3316" t="n">
        <f aca="false" ca="false" dt2D="false" dtr="false" t="normal">C35</f>
        <v>624.904</v>
      </c>
      <c r="D49" s="3318" t="n">
        <f aca="false" ca="false" dt2D="false" dtr="false" t="normal">C49*2</f>
        <v>1249.808</v>
      </c>
      <c r="E49" s="124" t="n">
        <v>15.5</v>
      </c>
      <c r="F49" s="3319" t="n">
        <f aca="false" ca="false" dt2D="false" dtr="false" t="normal">E49*D49/100</f>
        <v>193.72024000000002</v>
      </c>
      <c r="G49" s="3320" t="n">
        <v>0.13</v>
      </c>
      <c r="H49" s="3318" t="n">
        <f aca="false" ca="false" dt2D="false" dtr="false" t="normal">F49*G49</f>
        <v>25.183631200000004</v>
      </c>
    </row>
    <row hidden="false" ht="15.75" outlineLevel="0" r="50">
      <c r="A50" s="17" t="n">
        <v>2</v>
      </c>
      <c r="B50" s="3321" t="s">
        <v>305</v>
      </c>
      <c r="C50" s="3316" t="n">
        <f aca="false" ca="false" dt2D="false" dtr="false" t="normal">C36</f>
        <v>234.63899999999998</v>
      </c>
      <c r="D50" s="3318" t="n">
        <f aca="false" ca="false" dt2D="false" dtr="false" t="normal">C50*2</f>
        <v>469.27799999999996</v>
      </c>
      <c r="E50" s="124" t="n">
        <v>25</v>
      </c>
      <c r="F50" s="3319" t="n">
        <f aca="false" ca="false" dt2D="false" dtr="false" t="normal">E50*D50/100</f>
        <v>117.31949999999999</v>
      </c>
      <c r="G50" s="3323" t="n">
        <v>0.532</v>
      </c>
      <c r="H50" s="3318" t="n">
        <f aca="false" ca="false" dt2D="false" dtr="false" t="normal">F50*G50</f>
        <v>62.413973999999996</v>
      </c>
    </row>
    <row customHeight="true" hidden="false" ht="42.75" outlineLevel="0" r="51">
      <c r="A51" s="4" t="n"/>
      <c r="B51" s="119" t="n"/>
      <c r="C51" s="119" t="n"/>
      <c r="D51" s="119" t="n"/>
      <c r="E51" s="3325" t="n"/>
      <c r="F51" s="119" t="n"/>
      <c r="G51" s="119" t="n"/>
      <c r="H51" s="3326" t="n"/>
    </row>
    <row hidden="false" ht="15.75" outlineLevel="0" r="52">
      <c r="B52" s="105" t="s">
        <v>212</v>
      </c>
    </row>
    <row customHeight="true" hidden="false" ht="106.5" outlineLevel="0" r="53">
      <c r="A53" s="124" t="n"/>
      <c r="B53" s="129" t="s">
        <v>213</v>
      </c>
      <c r="C53" s="129" t="s">
        <v>214</v>
      </c>
      <c r="D53" s="259" t="s">
        <v>215</v>
      </c>
      <c r="E53" s="3183" t="s">
        <v>216</v>
      </c>
      <c r="F53" s="129" t="s">
        <v>309</v>
      </c>
      <c r="G53" s="129" t="s">
        <v>218</v>
      </c>
      <c r="H53" s="3328" t="s"/>
    </row>
    <row customFormat="true" hidden="false" ht="15.75" outlineLevel="0" r="54" s="3310">
      <c r="A54" s="17" t="n">
        <v>1</v>
      </c>
      <c r="B54" s="3178" t="s">
        <v>311</v>
      </c>
      <c r="C54" s="3178" t="n">
        <v>195000</v>
      </c>
      <c r="D54" s="98" t="n">
        <v>0.2</v>
      </c>
      <c r="E54" s="3330" t="n">
        <v>960</v>
      </c>
      <c r="F54" s="3331" t="n">
        <f aca="false" ca="false" dt2D="false" dtr="false" t="normal">H36*2</f>
        <v>2.7739544</v>
      </c>
      <c r="G54" s="106" t="n">
        <f aca="false" ca="false" dt2D="false" dtr="false" t="normal">C54*D54/E54*F54</f>
        <v>112.6918975</v>
      </c>
      <c r="H54" s="3332" t="s"/>
    </row>
    <row hidden="false" ht="15.75" outlineLevel="0" r="55">
      <c r="A55" s="17" t="n">
        <v>2</v>
      </c>
      <c r="B55" s="3178" t="s">
        <v>314</v>
      </c>
      <c r="C55" s="3178" t="n">
        <v>350000</v>
      </c>
      <c r="D55" s="98" t="n">
        <v>0.1</v>
      </c>
      <c r="E55" s="3335" t="s">
        <v>174</v>
      </c>
      <c r="F55" s="3331" t="n">
        <f aca="false" ca="false" dt2D="false" dtr="false" t="normal">H35*2</f>
        <v>2.954091636363636</v>
      </c>
      <c r="G55" s="106" t="n">
        <f aca="false" ca="false" dt2D="false" dtr="false" t="normal">C55*D55/E55*F55</f>
        <v>64.62075454545453</v>
      </c>
      <c r="H55" s="3338" t="s"/>
    </row>
    <row hidden="false" ht="15.75" outlineLevel="0" r="56">
      <c r="A56" s="17" t="n">
        <v>3</v>
      </c>
      <c r="B56" s="3178" t="s">
        <v>315</v>
      </c>
      <c r="C56" s="3178" t="n">
        <v>43000</v>
      </c>
      <c r="D56" s="98" t="n">
        <v>0.2</v>
      </c>
      <c r="E56" s="3335" t="s">
        <v>174</v>
      </c>
      <c r="F56" s="3178" t="n">
        <v>1</v>
      </c>
      <c r="G56" s="106" t="n">
        <f aca="false" ca="false" dt2D="false" dtr="false" t="normal">C56*D56/E56*F56</f>
        <v>5.375</v>
      </c>
      <c r="H56" s="3345" t="s"/>
    </row>
    <row hidden="false" ht="15.75" outlineLevel="0" r="57">
      <c r="A57" s="124" t="n"/>
      <c r="B57" s="3204" t="s">
        <v>183</v>
      </c>
      <c r="C57" s="3178" t="n"/>
      <c r="D57" s="3204" t="n"/>
      <c r="E57" s="3205" t="n"/>
      <c r="F57" s="3178" t="n"/>
      <c r="G57" s="136" t="n">
        <f aca="false" ca="false" dt2D="false" dtr="false" t="normal">SUM(G54:H56)</f>
        <v>182.6876520454545</v>
      </c>
      <c r="H57" s="3346" t="s"/>
    </row>
    <row hidden="false" ht="15.75" outlineLevel="0" r="58">
      <c r="G58" s="4" t="n"/>
      <c r="H58" s="4" t="n"/>
    </row>
    <row hidden="false" ht="15.75" outlineLevel="0" r="59">
      <c r="A59" s="3347" t="n"/>
      <c r="I59" s="3348" t="n"/>
      <c r="J59" s="3348" t="n"/>
      <c r="K59" s="3348" t="n"/>
      <c r="L59" s="93" t="n"/>
      <c r="M59" s="93" t="n"/>
      <c r="N59" s="4" t="n"/>
    </row>
    <row customHeight="true" hidden="false" ht="12" outlineLevel="0" r="60">
      <c r="B60" s="195" t="s">
        <v>321</v>
      </c>
      <c r="C60" s="195" t="s"/>
      <c r="D60" s="195" t="s"/>
      <c r="E60" s="195" t="s"/>
      <c r="F60" s="195" t="s"/>
      <c r="G60" s="195" t="s"/>
      <c r="H60" s="195" t="s"/>
      <c r="I60" s="93" t="n"/>
      <c r="J60" s="93" t="n"/>
      <c r="K60" s="93" t="n"/>
      <c r="L60" s="93" t="n"/>
      <c r="M60" s="93" t="n"/>
      <c r="N60" s="4" t="n"/>
    </row>
    <row customHeight="true" hidden="true" ht="15.75" outlineLevel="0" r="61">
      <c r="B61" s="195" t="s"/>
      <c r="C61" s="195" t="s"/>
      <c r="D61" s="195" t="s"/>
      <c r="E61" s="195" t="s"/>
      <c r="F61" s="195" t="s"/>
      <c r="G61" s="195" t="s"/>
      <c r="H61" s="195" t="s"/>
      <c r="I61" s="3352" t="n"/>
      <c r="J61" s="3352" t="s"/>
      <c r="K61" s="3352" t="s"/>
      <c r="L61" s="3352" t="s"/>
      <c r="M61" s="1533" t="n"/>
      <c r="N61" s="4" t="n"/>
    </row>
    <row customHeight="true" hidden="false" ht="15.75" outlineLevel="0" r="62">
      <c r="A62" s="20" t="n"/>
      <c r="B62" s="20" t="s">
        <v>220</v>
      </c>
      <c r="C62" s="3354" t="s"/>
      <c r="D62" s="3355" t="s"/>
      <c r="E62" s="20" t="s">
        <v>270</v>
      </c>
    </row>
    <row customFormat="true" customHeight="true" hidden="false" ht="30.75" outlineLevel="0" r="63" s="105">
      <c r="A63" s="17" t="n">
        <v>1</v>
      </c>
      <c r="B63" s="17" t="s">
        <v>222</v>
      </c>
      <c r="C63" s="3356" t="s"/>
      <c r="D63" s="3357" t="s"/>
      <c r="E63" s="285" t="n">
        <f aca="false" ca="false" dt2D="false" dtr="false" t="normal">SUM(E64:E65)</f>
        <v>102184.72084341284</v>
      </c>
    </row>
    <row customFormat="true" customHeight="true" hidden="false" ht="31.5" outlineLevel="0" r="64" s="4">
      <c r="A64" s="17" t="n"/>
      <c r="B64" s="144" t="s">
        <v>223</v>
      </c>
      <c r="C64" s="3360" t="s"/>
      <c r="D64" s="3362" t="s"/>
      <c r="E64" s="285" t="n">
        <f aca="false" ca="false" dt2D="false" dtr="false" t="normal">(15990207-D13)*1.302/218</f>
        <v>94386.55570579816</v>
      </c>
      <c r="F64" s="4" t="n"/>
      <c r="G64" s="4" t="n"/>
    </row>
    <row customFormat="true" customHeight="true" hidden="false" ht="36.75" outlineLevel="0" r="65" s="4">
      <c r="A65" s="17" t="n"/>
      <c r="B65" s="144" t="s">
        <v>224</v>
      </c>
      <c r="C65" s="3363" t="s"/>
      <c r="D65" s="3364" t="s"/>
      <c r="E65" s="285" t="n">
        <f aca="false" ca="false" dt2D="false" dtr="false" t="normal">(200000+1500000)/218</f>
        <v>7798.165137614679</v>
      </c>
      <c r="F65" s="4" t="n"/>
      <c r="G65" s="4" t="n"/>
    </row>
    <row customFormat="true" customHeight="true" hidden="false" ht="15.75" outlineLevel="0" r="66" s="4">
      <c r="A66" s="17" t="n">
        <v>2</v>
      </c>
      <c r="B66" s="144" t="s">
        <v>225</v>
      </c>
      <c r="C66" s="3366" t="s"/>
      <c r="D66" s="3368" t="s"/>
      <c r="E66" s="285" t="n">
        <f aca="false" ca="false" dt2D="false" dtr="false" t="normal">SUM(E67:E68)</f>
        <v>68104.96788990825</v>
      </c>
      <c r="F66" s="4" t="n"/>
      <c r="G66" s="4" t="n"/>
    </row>
    <row customFormat="true" customHeight="true" hidden="false" ht="15.75" outlineLevel="0" r="67" s="105">
      <c r="A67" s="17" t="n"/>
      <c r="B67" s="3369" t="s">
        <v>227</v>
      </c>
      <c r="C67" s="3371" t="n"/>
      <c r="D67" s="3371" t="n"/>
      <c r="E67" s="285" t="n">
        <f aca="false" ca="false" dt2D="false" dtr="false" t="normal">2000000/218</f>
        <v>9174.311926605504</v>
      </c>
    </row>
    <row customHeight="true" hidden="false" ht="15.75" outlineLevel="0" r="68">
      <c r="A68" s="17" t="n"/>
      <c r="B68" s="310" t="s">
        <v>228</v>
      </c>
      <c r="C68" s="3373" t="s"/>
      <c r="D68" s="3374" t="s"/>
      <c r="E68" s="285" t="n">
        <f aca="false" ca="false" dt2D="false" dtr="false" t="normal">(8246883+3800000+800000)/218</f>
        <v>58930.65596330275</v>
      </c>
    </row>
    <row customHeight="true" hidden="false" ht="15.75" outlineLevel="0" r="69">
      <c r="A69" s="17" t="n">
        <v>3</v>
      </c>
      <c r="B69" s="144" t="s">
        <v>230</v>
      </c>
      <c r="C69" s="3378" t="s"/>
      <c r="D69" s="3379" t="s"/>
      <c r="E69" s="285" t="n">
        <f aca="false" ca="false" dt2D="false" dtr="false" t="normal">SUM(G57)/1000</f>
        <v>0.1826876520454545</v>
      </c>
    </row>
    <row customHeight="true" hidden="false" ht="15.75" outlineLevel="0" r="70">
      <c r="A70" s="17" t="n"/>
      <c r="B70" s="3134" t="s">
        <v>183</v>
      </c>
      <c r="C70" s="3135" t="n"/>
      <c r="D70" s="3135" t="n"/>
      <c r="E70" s="285" t="n">
        <f aca="false" ca="false" dt2D="false" dtr="false" t="normal">E66+E69</f>
        <v>68105.1505775603</v>
      </c>
    </row>
    <row customHeight="true" hidden="false" ht="30.75" outlineLevel="0" r="71">
      <c r="A71" s="17" t="n">
        <v>4</v>
      </c>
      <c r="B71" s="144" t="s">
        <v>231</v>
      </c>
      <c r="C71" s="3384" t="s"/>
      <c r="D71" s="3385" t="s"/>
      <c r="E71" s="285" t="n">
        <f aca="false" ca="false" dt2D="false" dtr="false" t="normal">SUM(D13)</f>
        <v>186620.86800000002</v>
      </c>
    </row>
    <row hidden="false" ht="15.75" outlineLevel="0" r="72">
      <c r="A72" s="17" t="n">
        <v>5</v>
      </c>
      <c r="B72" s="3134" t="s">
        <v>234</v>
      </c>
      <c r="C72" s="3135" t="n"/>
      <c r="D72" s="3135" t="n"/>
      <c r="E72" s="285" t="n">
        <f aca="false" ca="false" dt2D="false" dtr="false" t="normal">(E63+E66+E69)/E71</f>
        <v>0.9124910480052698</v>
      </c>
    </row>
    <row customHeight="true" hidden="false" ht="36" outlineLevel="0" r="73">
      <c r="A73" s="17" t="n">
        <f aca="false" ca="false" dt2D="false" dtr="false" t="normal">SUM(A72+1)</f>
        <v>6</v>
      </c>
      <c r="B73" s="144" t="s">
        <v>235</v>
      </c>
      <c r="C73" s="3389" t="s"/>
      <c r="D73" s="3390" t="s"/>
      <c r="E73" s="285" t="n">
        <f aca="false" ca="false" dt2D="false" dtr="false" t="normal">SUM(G13+H18+G43+G57)</f>
        <v>61685.38898659708</v>
      </c>
    </row>
    <row hidden="false" ht="15.75" outlineLevel="0" r="74">
      <c r="A74" s="211" t="n">
        <v>7</v>
      </c>
      <c r="B74" s="3134" t="s">
        <v>236</v>
      </c>
      <c r="C74" s="3135" t="n"/>
      <c r="D74" s="3135" t="n"/>
      <c r="E74" s="395" t="n">
        <f aca="false" ca="false" dt2D="false" dtr="false" t="normal">SUM(E73*E72)</f>
        <v>56287.365242992695</v>
      </c>
    </row>
    <row hidden="false" ht="15.75" outlineLevel="0" r="75">
      <c r="A75" s="398" t="n"/>
      <c r="B75" s="398" t="n"/>
      <c r="C75" s="398" t="n"/>
      <c r="D75" s="398" t="n"/>
      <c r="E75" s="398" t="n"/>
      <c r="F75" s="398" t="n"/>
      <c r="G75" s="398" t="n"/>
    </row>
    <row customHeight="true" hidden="false" ht="58.5" outlineLevel="0" r="76">
      <c r="A76" s="146" t="s">
        <v>339</v>
      </c>
      <c r="B76" s="3395" t="s"/>
      <c r="C76" s="3396" t="s"/>
      <c r="D76" s="3397" t="s"/>
      <c r="E76" s="3398" t="s"/>
      <c r="F76" s="3193" t="n"/>
      <c r="G76" s="3193" t="n"/>
    </row>
    <row customHeight="true" hidden="false" ht="31.5" outlineLevel="0" r="77">
      <c r="A77" s="169" t="s">
        <v>239</v>
      </c>
      <c r="B77" s="169" t="s">
        <v>240</v>
      </c>
      <c r="C77" s="3404" t="s"/>
      <c r="D77" s="3405" t="s"/>
      <c r="E77" s="417" t="s">
        <v>241</v>
      </c>
    </row>
    <row customHeight="true" hidden="false" ht="36.75" outlineLevel="0" r="78">
      <c r="A78" s="67" t="n">
        <v>1</v>
      </c>
      <c r="B78" s="177" t="s">
        <v>242</v>
      </c>
      <c r="C78" s="3407" t="s"/>
      <c r="D78" s="3408" t="s"/>
      <c r="E78" s="434" t="n">
        <f aca="false" ca="false" dt2D="false" dtr="false" t="normal">SUM(G13+H18)</f>
        <v>53438.46579983962</v>
      </c>
    </row>
    <row customHeight="true" hidden="false" ht="15.75" outlineLevel="0" r="79">
      <c r="A79" s="67" t="n">
        <v>2</v>
      </c>
      <c r="B79" s="189" t="s">
        <v>243</v>
      </c>
      <c r="C79" s="3411" t="s"/>
      <c r="D79" s="3412" t="s"/>
      <c r="E79" s="434" t="n">
        <f aca="false" ca="false" dt2D="false" dtr="false" t="normal">SUM(G43)</f>
        <v>8064.235534712</v>
      </c>
    </row>
    <row customHeight="true" hidden="false" ht="39.75" outlineLevel="0" r="80">
      <c r="A80" s="67" t="n">
        <v>3</v>
      </c>
      <c r="B80" s="177" t="s">
        <v>244</v>
      </c>
      <c r="C80" s="3416" t="s"/>
      <c r="D80" s="3417" t="s"/>
      <c r="E80" s="434" t="n">
        <f aca="false" ca="false" dt2D="false" dtr="false" t="normal">SUM(G57)</f>
        <v>182.6876520454545</v>
      </c>
    </row>
    <row customHeight="true" hidden="false" ht="30" outlineLevel="0" r="81">
      <c r="A81" s="67" t="n">
        <v>4</v>
      </c>
      <c r="B81" s="177" t="s">
        <v>245</v>
      </c>
      <c r="C81" s="3419" t="s"/>
      <c r="D81" s="3420" t="s"/>
      <c r="E81" s="434" t="n">
        <f aca="false" ca="false" dt2D="false" dtr="false" t="normal">SUM(E74)</f>
        <v>56287.365242992695</v>
      </c>
    </row>
    <row customHeight="true" hidden="false" ht="15.75" outlineLevel="0" r="82">
      <c r="A82" s="67" t="n">
        <v>5</v>
      </c>
      <c r="B82" s="189" t="s">
        <v>247</v>
      </c>
      <c r="C82" s="3422" t="s"/>
      <c r="D82" s="3423" t="s"/>
      <c r="E82" s="434" t="n">
        <f aca="false" ca="false" dt2D="false" dtr="false" t="normal">SUM(E78:E81)</f>
        <v>117972.75422958977</v>
      </c>
    </row>
    <row customHeight="true" hidden="false" ht="15.75" outlineLevel="0" r="83">
      <c r="A83" s="67" t="n">
        <v>6</v>
      </c>
      <c r="B83" s="189" t="s">
        <v>208</v>
      </c>
      <c r="C83" s="3424" t="s"/>
      <c r="D83" s="3425" t="s"/>
      <c r="E83" s="434" t="n">
        <f aca="false" ca="false" dt2D="false" dtr="false" t="normal">SUM(E82*0.22)</f>
        <v>25954.00593050975</v>
      </c>
    </row>
    <row hidden="false" ht="15.75" outlineLevel="0" r="84">
      <c r="A84" s="67" t="n"/>
      <c r="B84" s="240" t="s">
        <v>211</v>
      </c>
      <c r="C84" s="241" t="n"/>
      <c r="D84" s="241" t="n"/>
      <c r="E84" s="512" t="n">
        <f aca="false" ca="false" dt2D="false" dtr="false" t="normal">SUM(E82:E83)-27</f>
        <v>143899.7601600995</v>
      </c>
    </row>
    <row customHeight="true" hidden="false" ht="15.75" outlineLevel="0" r="85">
      <c r="A85" s="67" t="n"/>
      <c r="B85" s="213" t="s">
        <v>344</v>
      </c>
      <c r="C85" s="3426" t="s"/>
      <c r="D85" s="3427" t="s"/>
      <c r="E85" s="3428" t="s">
        <v>345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60">
    <mergeCell ref="B8:H8"/>
    <mergeCell ref="B7:G7"/>
    <mergeCell ref="B10:C10"/>
    <mergeCell ref="B11:C11"/>
    <mergeCell ref="B12:C12"/>
    <mergeCell ref="B13:C13"/>
    <mergeCell ref="F16:G16"/>
    <mergeCell ref="F17:G17"/>
    <mergeCell ref="B18:C18"/>
    <mergeCell ref="F18:G18"/>
    <mergeCell ref="B19:G19"/>
    <mergeCell ref="B20:G20"/>
    <mergeCell ref="B30:H30"/>
    <mergeCell ref="B31:H31"/>
    <mergeCell ref="A33:B33"/>
    <mergeCell ref="C33:D33"/>
    <mergeCell ref="A34:B34"/>
    <mergeCell ref="A35:B35"/>
    <mergeCell ref="C34:D34"/>
    <mergeCell ref="A36:B36"/>
    <mergeCell ref="C35:D35"/>
    <mergeCell ref="C36:D36"/>
    <mergeCell ref="A37:B37"/>
    <mergeCell ref="B38:C38"/>
    <mergeCell ref="D38:G38"/>
    <mergeCell ref="B39:G39"/>
    <mergeCell ref="B40:C40"/>
    <mergeCell ref="G40:H40"/>
    <mergeCell ref="G41:H41"/>
    <mergeCell ref="B41:C41"/>
    <mergeCell ref="B42:C42"/>
    <mergeCell ref="B43:C43"/>
    <mergeCell ref="B46:H46"/>
    <mergeCell ref="G42:H42"/>
    <mergeCell ref="G43:H43"/>
    <mergeCell ref="A76:E76"/>
    <mergeCell ref="B79:D79"/>
    <mergeCell ref="B78:D78"/>
    <mergeCell ref="B77:D77"/>
    <mergeCell ref="B80:D80"/>
    <mergeCell ref="B81:D81"/>
    <mergeCell ref="B82:D82"/>
    <mergeCell ref="B83:D83"/>
    <mergeCell ref="B85:D85"/>
    <mergeCell ref="B71:D71"/>
    <mergeCell ref="B73:D73"/>
    <mergeCell ref="I61:L61"/>
    <mergeCell ref="B62:D62"/>
    <mergeCell ref="B63:D63"/>
    <mergeCell ref="B64:D64"/>
    <mergeCell ref="B65:D65"/>
    <mergeCell ref="B60:H61"/>
    <mergeCell ref="G57:H57"/>
    <mergeCell ref="G56:H56"/>
    <mergeCell ref="G55:H55"/>
    <mergeCell ref="G54:H54"/>
    <mergeCell ref="G53:H53"/>
    <mergeCell ref="B66:D66"/>
    <mergeCell ref="B68:D68"/>
    <mergeCell ref="B69:D69"/>
  </mergeCells>
  <pageMargins bottom="1" footer="0.511811017990112" header="0.511811017990112" left="1" right="1" top="1"/>
  <pageSetup fitToHeight="1" fitToWidth="1" orientation="portrait" paperHeight="297mm" paperSize="9" paperWidth="210mm" scale="100"/>
</worksheet>
</file>

<file path=xl/worksheets/sheet1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W49"/>
  <sheetViews>
    <sheetView showZeros="true" workbookViewId="0"/>
  </sheetViews>
  <sheetFormatPr baseColWidth="8" customHeight="false" defaultColWidth="9.01358353688254" defaultRowHeight="12.75" zeroHeight="false"/>
  <cols>
    <col customWidth="true" hidden="false" max="1" min="1" outlineLevel="0" style="93" width="3.51202187927726"/>
    <col customWidth="true" hidden="false" max="2" min="2" outlineLevel="0" style="93" width="12.962912175516"/>
    <col customWidth="true" hidden="false" max="3" min="3" outlineLevel="0" style="93" width="8.16841102374806"/>
    <col customWidth="true" hidden="false" max="4" min="4" outlineLevel="0" style="93" width="13.1010262128073"/>
    <col customWidth="true" hidden="false" max="5" min="5" outlineLevel="0" style="93" width="5.63304641057275"/>
    <col customWidth="true" hidden="true" max="6" min="6" outlineLevel="0" style="93" width="1.39099751714795"/>
    <col customWidth="true" hidden="false" max="7" min="7" outlineLevel="0" style="93" width="10.1414570993718"/>
    <col customWidth="true" hidden="false" max="8" min="8" outlineLevel="0" style="93" width="3.51202187927726"/>
    <col customWidth="true" hidden="false" max="9" min="9" outlineLevel="0" style="93" width="11.2660928211455"/>
    <col customWidth="true" hidden="false" max="10" min="10" outlineLevel="0" style="93" width="2.10129400287278"/>
    <col customWidth="true" hidden="false" max="11" min="11" outlineLevel="0" style="93" width="15.074072288431"/>
    <col customWidth="true" hidden="false" max="12" min="12" outlineLevel="0" style="93" width="1.82506761995193"/>
    <col customWidth="true" hidden="false" max="13" min="13" outlineLevel="0" style="93" width="13.3772529340605"/>
    <col customWidth="true" hidden="false" max="14" min="14" outlineLevel="0" style="93" width="2.10129400287278"/>
    <col customWidth="true" hidden="false" max="15" min="15" outlineLevel="0" style="93" width="4.63665827771572"/>
    <col customWidth="true" hidden="false" max="16" min="16" outlineLevel="0" style="93" width="5.33708949922919"/>
    <col customWidth="true" hidden="false" max="17" min="17" outlineLevel="0" style="93" width="4.63665827771572"/>
    <col bestFit="true" customWidth="true" hidden="false" max="257" min="18" outlineLevel="0" style="93" width="9.01682070093331"/>
  </cols>
  <sheetData>
    <row customHeight="true" hidden="false" ht="12.75" outlineLevel="0" r="1">
      <c r="B1" s="1524" t="n"/>
      <c r="C1" s="1524" t="s"/>
      <c r="D1" s="1524" t="s"/>
      <c r="E1" s="1524" t="s"/>
      <c r="F1" s="1524" t="s"/>
      <c r="G1" s="1524" t="s"/>
      <c r="H1" s="1524" t="s"/>
      <c r="I1" s="1524" t="s"/>
      <c r="J1" s="1524" t="s"/>
      <c r="K1" s="1524" t="s"/>
      <c r="L1" s="1524" t="s"/>
      <c r="M1" s="1524" t="s"/>
      <c r="N1" s="1524" t="s"/>
    </row>
    <row customHeight="true" hidden="false" ht="12.75" outlineLevel="0" r="2">
      <c r="B2" s="1524" t="n"/>
      <c r="C2" s="1524" t="n"/>
      <c r="D2" s="1524" t="n"/>
      <c r="E2" s="1524" t="n"/>
      <c r="F2" s="1524" t="n"/>
      <c r="H2" s="1524" t="n"/>
      <c r="I2" s="101" t="s">
        <v>175</v>
      </c>
      <c r="J2" s="1524" t="n"/>
      <c r="K2" s="1524" t="n"/>
      <c r="L2" s="1524" t="n"/>
      <c r="M2" s="1524" t="n"/>
      <c r="N2" s="1524" t="n"/>
    </row>
    <row customHeight="true" hidden="false" ht="12.75" outlineLevel="0" r="3">
      <c r="B3" s="1524" t="n"/>
      <c r="C3" s="1524" t="n"/>
      <c r="D3" s="1524" t="n"/>
      <c r="E3" s="1524" t="n"/>
      <c r="F3" s="1524" t="n"/>
      <c r="H3" s="1524" t="n"/>
      <c r="I3" s="105" t="s">
        <v>176</v>
      </c>
      <c r="J3" s="1524" t="n"/>
      <c r="K3" s="1524" t="n"/>
      <c r="L3" s="1524" t="n"/>
      <c r="M3" s="1524" t="n"/>
      <c r="N3" s="1524" t="n"/>
    </row>
    <row customHeight="true" hidden="false" ht="12.75" outlineLevel="0" r="4">
      <c r="B4" s="1524" t="n"/>
      <c r="C4" s="1524" t="n"/>
      <c r="D4" s="1524" t="n"/>
      <c r="E4" s="1524" t="n"/>
      <c r="F4" s="1524" t="n"/>
      <c r="H4" s="1524" t="n"/>
      <c r="I4" s="101" t="s">
        <v>226</v>
      </c>
      <c r="J4" s="1524" t="n"/>
      <c r="K4" s="1524" t="n"/>
      <c r="L4" s="1524" t="n"/>
      <c r="M4" s="1524" t="n"/>
      <c r="N4" s="1524" t="n"/>
    </row>
    <row customHeight="true" hidden="false" ht="12.75" outlineLevel="0" r="5">
      <c r="B5" s="1524" t="n"/>
      <c r="C5" s="1524" t="n"/>
      <c r="D5" s="1524" t="n"/>
      <c r="E5" s="1524" t="n"/>
      <c r="F5" s="1524" t="n"/>
      <c r="H5" s="1524" t="n"/>
      <c r="I5" s="105" t="s">
        <v>178</v>
      </c>
      <c r="J5" s="1524" t="n"/>
      <c r="K5" s="1524" t="n"/>
      <c r="L5" s="1524" t="n"/>
      <c r="M5" s="1524" t="n"/>
      <c r="N5" s="1524" t="n"/>
    </row>
    <row customHeight="true" hidden="false" ht="12.75" outlineLevel="0" r="6">
      <c r="B6" s="1524" t="n"/>
      <c r="C6" s="1524" t="n"/>
      <c r="D6" s="1524" t="n"/>
      <c r="E6" s="1524" t="n"/>
      <c r="F6" s="1524" t="n"/>
      <c r="G6" s="105" t="n"/>
      <c r="H6" s="1524" t="n"/>
      <c r="I6" s="1524" t="n"/>
      <c r="J6" s="1524" t="n"/>
      <c r="K6" s="1524" t="n"/>
      <c r="L6" s="1524" t="n"/>
      <c r="M6" s="1524" t="n"/>
      <c r="N6" s="1524" t="n"/>
    </row>
    <row customHeight="true" hidden="false" ht="48" outlineLevel="0" r="7">
      <c r="B7" s="3453" t="s">
        <v>346</v>
      </c>
      <c r="C7" s="3453" t="s"/>
      <c r="D7" s="3453" t="s"/>
      <c r="E7" s="3453" t="s"/>
      <c r="F7" s="3453" t="s"/>
      <c r="G7" s="3453" t="s"/>
      <c r="H7" s="3453" t="s"/>
      <c r="I7" s="3453" t="s"/>
      <c r="J7" s="3453" t="s"/>
      <c r="K7" s="3453" t="s"/>
      <c r="L7" s="3453" t="s"/>
      <c r="M7" s="3453" t="s"/>
      <c r="N7" s="3453" t="s"/>
    </row>
    <row customHeight="true" hidden="false" ht="12.75" outlineLevel="0" r="8">
      <c r="A8" s="4" t="n"/>
      <c r="B8" s="101" t="s">
        <v>232</v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</row>
    <row customHeight="true" hidden="false" ht="135.75" outlineLevel="0" r="9">
      <c r="A9" s="124" t="n"/>
      <c r="B9" s="129" t="s">
        <v>184</v>
      </c>
      <c r="C9" s="3464" t="s"/>
      <c r="D9" s="129" t="s">
        <v>233</v>
      </c>
      <c r="E9" s="3469" t="s"/>
      <c r="F9" s="3471" t="s"/>
      <c r="G9" s="129" t="s">
        <v>186</v>
      </c>
      <c r="H9" s="3473" t="s"/>
      <c r="I9" s="129" t="s">
        <v>187</v>
      </c>
      <c r="J9" s="3474" t="s"/>
      <c r="K9" s="3475" t="s"/>
      <c r="L9" s="129" t="s">
        <v>347</v>
      </c>
      <c r="M9" s="3476" t="s"/>
      <c r="N9" s="3477" t="s"/>
    </row>
    <row customHeight="true" hidden="false" ht="15.75" outlineLevel="0" r="10">
      <c r="A10" s="211" t="n">
        <v>1</v>
      </c>
      <c r="B10" s="32" t="s">
        <v>348</v>
      </c>
      <c r="C10" s="3478" t="s"/>
      <c r="D10" s="225" t="n">
        <f aca="false" ca="false" dt2D="false" dtr="false" t="normal">68715*1.302</f>
        <v>89466.93000000001</v>
      </c>
      <c r="E10" s="3487" t="s"/>
      <c r="F10" s="3488" t="s"/>
      <c r="G10" s="225" t="n">
        <v>10080</v>
      </c>
      <c r="H10" s="3491" t="s"/>
      <c r="I10" s="225" t="n">
        <v>360</v>
      </c>
      <c r="J10" s="3496" t="s"/>
      <c r="K10" s="3498" t="s"/>
      <c r="L10" s="225" t="n">
        <f aca="false" ca="false" dt2D="false" dtr="false" t="normal">D10/G10*I10</f>
        <v>3195.2475000000004</v>
      </c>
      <c r="M10" s="3500" t="s"/>
      <c r="N10" s="3501" t="s"/>
      <c r="S10" s="93" t="n">
        <f aca="false" ca="false" dt2D="false" dtr="false" t="normal">SUM(360/60)</f>
        <v>6</v>
      </c>
    </row>
    <row customHeight="true" hidden="false" ht="15.75" outlineLevel="0" r="11">
      <c r="A11" s="124" t="n"/>
      <c r="B11" s="32" t="s">
        <v>183</v>
      </c>
      <c r="C11" s="3510" t="s"/>
      <c r="D11" s="225" t="n">
        <f aca="false" ca="false" dt2D="false" dtr="false" t="normal">SUM(D10:F10)</f>
        <v>89466.93000000001</v>
      </c>
      <c r="E11" s="3511" t="s"/>
      <c r="F11" s="3512" t="s"/>
      <c r="G11" s="225" t="n">
        <f aca="false" ca="false" dt2D="false" dtr="false" t="normal">SUM(G10:H10)</f>
        <v>10080</v>
      </c>
      <c r="H11" s="3521" t="s"/>
      <c r="I11" s="225" t="n">
        <f aca="false" ca="false" dt2D="false" dtr="false" t="normal">6*60</f>
        <v>360</v>
      </c>
      <c r="J11" s="3522" t="s"/>
      <c r="K11" s="3523" t="s"/>
      <c r="L11" s="250" t="n">
        <f aca="false" ca="false" dt2D="false" dtr="false" t="normal">SUM(L10:N10)</f>
        <v>3195.2475000000004</v>
      </c>
      <c r="M11" s="3524" t="s"/>
      <c r="N11" s="3525" t="s"/>
    </row>
    <row customHeight="true" hidden="false" ht="15.75" outlineLevel="0" r="12">
      <c r="A12" s="4" t="n"/>
      <c r="B12" s="188" t="n"/>
      <c r="C12" s="188" t="s"/>
      <c r="D12" s="119" t="n"/>
      <c r="E12" s="119" t="s"/>
      <c r="F12" s="119" t="s"/>
      <c r="G12" s="119" t="n"/>
      <c r="H12" s="119" t="s"/>
      <c r="I12" s="119" t="n"/>
      <c r="J12" s="119" t="s"/>
      <c r="K12" s="119" t="s"/>
      <c r="L12" s="119" t="n"/>
      <c r="M12" s="119" t="s"/>
      <c r="N12" s="119" t="s"/>
    </row>
    <row customHeight="true" hidden="false" ht="15.75" outlineLevel="0" r="13">
      <c r="A13" s="4" t="n"/>
      <c r="B13" s="195" t="s">
        <v>198</v>
      </c>
      <c r="C13" s="195" t="s"/>
      <c r="D13" s="195" t="s"/>
      <c r="E13" s="195" t="s"/>
      <c r="F13" s="195" t="s"/>
      <c r="G13" s="119" t="n"/>
      <c r="H13" s="119" t="s"/>
      <c r="I13" s="119" t="n"/>
      <c r="J13" s="119" t="s"/>
      <c r="K13" s="119" t="s"/>
      <c r="L13" s="119" t="n"/>
      <c r="M13" s="119" t="s"/>
      <c r="N13" s="119" t="s"/>
    </row>
    <row customHeight="true" hidden="false" ht="62.25" outlineLevel="0" r="14">
      <c r="A14" s="196" t="n"/>
      <c r="B14" s="353" t="s">
        <v>200</v>
      </c>
      <c r="C14" s="3542" t="s"/>
      <c r="D14" s="353" t="s">
        <v>201</v>
      </c>
      <c r="E14" s="3543" t="s"/>
      <c r="F14" s="3544" t="s"/>
      <c r="G14" s="353" t="s">
        <v>202</v>
      </c>
      <c r="H14" s="3549" t="s"/>
      <c r="I14" s="353" t="s">
        <v>203</v>
      </c>
      <c r="J14" s="3554" t="s"/>
      <c r="K14" s="3555" t="s"/>
      <c r="L14" s="353" t="s">
        <v>349</v>
      </c>
      <c r="M14" s="3556" t="s"/>
      <c r="N14" s="3557" t="s"/>
    </row>
    <row customHeight="true" hidden="false" ht="15.75" outlineLevel="0" r="15">
      <c r="A15" s="17" t="n">
        <v>1</v>
      </c>
      <c r="B15" s="32" t="s">
        <v>350</v>
      </c>
      <c r="C15" s="3559" t="s"/>
      <c r="D15" s="95" t="s">
        <v>342</v>
      </c>
      <c r="E15" s="3561" t="s"/>
      <c r="F15" s="3562" t="s"/>
      <c r="G15" s="95" t="n">
        <v>45</v>
      </c>
      <c r="H15" s="3566" t="s"/>
      <c r="I15" s="3568" t="n">
        <v>72.06</v>
      </c>
      <c r="J15" s="3571" t="s"/>
      <c r="K15" s="3573" t="s"/>
      <c r="L15" s="95" t="n">
        <f aca="false" ca="false" dt2D="false" dtr="false" t="normal">G15*I15</f>
        <v>3242.7000000000003</v>
      </c>
      <c r="M15" s="3574" t="s"/>
      <c r="N15" s="3575" t="s"/>
      <c r="O15" s="3348" t="n"/>
    </row>
    <row customHeight="true" hidden="false" ht="15.75" outlineLevel="0" r="16">
      <c r="A16" s="17" t="n">
        <v>2</v>
      </c>
      <c r="B16" s="32" t="s">
        <v>351</v>
      </c>
      <c r="C16" s="3577" t="s"/>
      <c r="D16" s="95" t="s">
        <v>342</v>
      </c>
      <c r="E16" s="3578" t="s"/>
      <c r="F16" s="3579" t="s"/>
      <c r="G16" s="95" t="n">
        <f aca="false" ca="false" dt2D="false" dtr="false" t="normal">G15*0.05</f>
        <v>2.25</v>
      </c>
      <c r="H16" s="3580" t="s"/>
      <c r="I16" s="95" t="n">
        <v>400</v>
      </c>
      <c r="J16" s="3581" t="s"/>
      <c r="K16" s="3582" t="s"/>
      <c r="L16" s="95" t="n">
        <f aca="false" ca="false" dt2D="false" dtr="false" t="normal">G16*I16</f>
        <v>900</v>
      </c>
      <c r="M16" s="3583" t="s"/>
      <c r="N16" s="3584" t="s"/>
      <c r="O16" s="3585" t="n"/>
    </row>
    <row customHeight="true" hidden="false" ht="15.75" outlineLevel="0" r="17">
      <c r="A17" s="124" t="n"/>
      <c r="B17" s="95" t="n"/>
      <c r="C17" s="3590" t="s"/>
      <c r="D17" s="95" t="n"/>
      <c r="E17" s="3594" t="s"/>
      <c r="F17" s="3596" t="s"/>
      <c r="G17" s="95" t="n"/>
      <c r="H17" s="3597" t="s"/>
      <c r="I17" s="95" t="n"/>
      <c r="J17" s="3598" t="s"/>
      <c r="K17" s="3599" t="s"/>
      <c r="L17" s="3603" t="n">
        <f aca="false" ca="false" dt2D="false" dtr="false" t="normal">SUM(L15:N16)</f>
        <v>4142.700000000001</v>
      </c>
      <c r="M17" s="3606" t="s"/>
      <c r="N17" s="3608" t="s"/>
    </row>
    <row hidden="false" ht="15.75" outlineLevel="0" r="18">
      <c r="A18" s="4" t="n"/>
      <c r="B18" s="119" t="n"/>
      <c r="C18" s="119" t="n"/>
      <c r="D18" s="119" t="n"/>
      <c r="E18" s="119" t="n"/>
      <c r="F18" s="119" t="n"/>
      <c r="G18" s="119" t="n"/>
      <c r="H18" s="119" t="n"/>
      <c r="I18" s="119" t="n"/>
      <c r="J18" s="119" t="n"/>
      <c r="K18" s="119" t="n"/>
      <c r="L18" s="253" t="n"/>
      <c r="M18" s="253" t="n"/>
      <c r="N18" s="253" t="n"/>
    </row>
    <row hidden="false" ht="15.75" outlineLevel="0" r="19">
      <c r="A19" s="4" t="n"/>
      <c r="B19" s="105" t="s">
        <v>212</v>
      </c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</row>
    <row customHeight="true" hidden="false" ht="49.5" outlineLevel="0" r="20">
      <c r="A20" s="124" t="n"/>
      <c r="B20" s="353" t="s">
        <v>213</v>
      </c>
      <c r="C20" s="3627" t="s"/>
      <c r="D20" s="353" t="s">
        <v>214</v>
      </c>
      <c r="E20" s="3628" t="s"/>
      <c r="F20" s="3629" t="s"/>
      <c r="G20" s="1189" t="s">
        <v>215</v>
      </c>
      <c r="H20" s="3630" t="s">
        <v>216</v>
      </c>
      <c r="I20" s="3631" t="s"/>
      <c r="J20" s="353" t="s">
        <v>217</v>
      </c>
      <c r="K20" s="3633" t="s"/>
      <c r="L20" s="3634" t="s"/>
      <c r="M20" s="353" t="s">
        <v>218</v>
      </c>
      <c r="N20" s="3639" t="s"/>
    </row>
    <row customHeight="true" hidden="false" ht="15.75" outlineLevel="0" r="21">
      <c r="A21" s="17" t="n">
        <v>1</v>
      </c>
      <c r="B21" s="32" t="s">
        <v>353</v>
      </c>
      <c r="C21" s="3643" t="s"/>
      <c r="D21" s="95" t="n">
        <v>350000</v>
      </c>
      <c r="E21" s="3644" t="s"/>
      <c r="F21" s="3645" t="s"/>
      <c r="G21" s="98" t="n">
        <v>0.1</v>
      </c>
      <c r="H21" s="99" t="n">
        <f aca="false" ca="false" dt2D="false" dtr="false" t="normal">12*20*4</f>
        <v>960</v>
      </c>
      <c r="I21" s="3654" t="s"/>
      <c r="J21" s="95" t="n">
        <v>3</v>
      </c>
      <c r="K21" s="3655" t="s"/>
      <c r="L21" s="3656" t="s"/>
      <c r="M21" s="106" t="n">
        <f aca="false" ca="false" dt2D="false" dtr="false" t="normal">D21*G21/H21*J21</f>
        <v>109.375</v>
      </c>
      <c r="N21" s="3657" t="s"/>
    </row>
    <row customHeight="true" hidden="false" ht="15.75" outlineLevel="0" r="22">
      <c r="A22" s="124" t="n"/>
      <c r="B22" s="95" t="n"/>
      <c r="C22" s="3665" t="s"/>
      <c r="D22" s="95" t="n"/>
      <c r="E22" s="3666" t="s"/>
      <c r="F22" s="3667" t="s"/>
      <c r="G22" s="3204" t="n"/>
      <c r="H22" s="3668" t="n"/>
      <c r="I22" s="3669" t="s"/>
      <c r="J22" s="95" t="n"/>
      <c r="K22" s="3670" t="s"/>
      <c r="L22" s="3671" t="s"/>
      <c r="M22" s="136" t="n">
        <f aca="false" ca="false" dt2D="false" dtr="false" t="normal">SUM(M21:N21)</f>
        <v>109.375</v>
      </c>
      <c r="N22" s="3674" t="s"/>
    </row>
    <row hidden="false" ht="12.75" outlineLevel="0" r="23">
      <c r="A23" s="93" t="n"/>
      <c r="B23" s="3348" t="n"/>
      <c r="C23" s="3348" t="n"/>
      <c r="D23" s="3348" t="n"/>
      <c r="E23" s="3348" t="n"/>
      <c r="F23" s="3348" t="n"/>
      <c r="G23" s="3348" t="n"/>
      <c r="H23" s="3348" t="n"/>
      <c r="I23" s="3348" t="n"/>
      <c r="J23" s="3348" t="n"/>
      <c r="K23" s="3348" t="n"/>
      <c r="L23" s="3684" t="n"/>
      <c r="M23" s="3684" t="n"/>
      <c r="N23" s="3684" t="n"/>
    </row>
    <row hidden="false" ht="15.75" outlineLevel="0" r="24">
      <c r="A24" s="4" t="n"/>
      <c r="B24" s="101" t="s">
        <v>219</v>
      </c>
      <c r="C24" s="119" t="n"/>
      <c r="D24" s="119" t="n"/>
      <c r="E24" s="119" t="n"/>
      <c r="F24" s="119" t="n"/>
      <c r="G24" s="119" t="n"/>
      <c r="H24" s="119" t="n"/>
      <c r="I24" s="119" t="n"/>
      <c r="J24" s="4" t="n"/>
      <c r="K24" s="4" t="n"/>
      <c r="N24" s="93" t="n"/>
      <c r="O24" s="93" t="n"/>
      <c r="P24" s="93" t="n"/>
      <c r="Q24" s="93" t="n"/>
      <c r="R24" s="93" t="n"/>
    </row>
    <row hidden="false" ht="15.75" outlineLevel="0" r="25">
      <c r="A25" s="20" t="n"/>
      <c r="B25" s="266" t="s">
        <v>220</v>
      </c>
      <c r="C25" s="3429" t="s"/>
      <c r="D25" s="3430" t="s"/>
      <c r="E25" s="3431" t="s"/>
      <c r="F25" s="3432" t="s"/>
      <c r="G25" s="3433" t="s"/>
      <c r="H25" s="3434" t="s"/>
      <c r="I25" s="3435" t="s"/>
      <c r="J25" s="3436" t="s"/>
      <c r="K25" s="275" t="s">
        <v>270</v>
      </c>
      <c r="N25" s="93" t="n"/>
      <c r="O25" s="93" t="n"/>
      <c r="P25" s="93" t="n"/>
      <c r="Q25" s="93" t="n"/>
      <c r="R25" s="93" t="n"/>
    </row>
    <row customHeight="true" hidden="false" ht="15.75" outlineLevel="0" r="26">
      <c r="A26" s="17" t="n">
        <v>1</v>
      </c>
      <c r="B26" s="276" t="s">
        <v>222</v>
      </c>
      <c r="C26" s="3437" t="s"/>
      <c r="D26" s="3438" t="s"/>
      <c r="E26" s="3439" t="s"/>
      <c r="F26" s="3440" t="s"/>
      <c r="G26" s="3441" t="s"/>
      <c r="H26" s="3442" t="s"/>
      <c r="I26" s="3443" t="s"/>
      <c r="J26" s="3444" t="s"/>
      <c r="K26" s="285" t="n">
        <f aca="false" ca="false" dt2D="false" dtr="false" t="normal">SUM(K27:K28)</f>
        <v>102764.97050981653</v>
      </c>
      <c r="N26" s="93" t="n"/>
      <c r="O26" s="93" t="n"/>
      <c r="P26" s="93" t="n"/>
      <c r="Q26" s="93" t="n"/>
      <c r="R26" s="93" t="n"/>
    </row>
    <row customHeight="true" hidden="false" ht="34.5" outlineLevel="0" r="27">
      <c r="A27" s="17" t="n"/>
      <c r="B27" s="144" t="s">
        <v>223</v>
      </c>
      <c r="C27" s="3445" t="s"/>
      <c r="D27" s="3446" t="s"/>
      <c r="E27" s="3447" t="s"/>
      <c r="F27" s="3448" t="s"/>
      <c r="G27" s="3449" t="s"/>
      <c r="H27" s="3450" t="s"/>
      <c r="I27" s="3451" t="s"/>
      <c r="J27" s="3452" t="s"/>
      <c r="K27" s="285" t="n">
        <f aca="false" ca="false" dt2D="false" dtr="false" t="normal">(15990207-D11)*1.302/218</f>
        <v>94966.80537220185</v>
      </c>
      <c r="N27" s="93" t="n"/>
      <c r="O27" s="93" t="n"/>
      <c r="P27" s="93" t="n"/>
      <c r="Q27" s="93" t="n"/>
      <c r="R27" s="93" t="n"/>
    </row>
    <row customHeight="true" hidden="false" ht="39" outlineLevel="0" r="28">
      <c r="A28" s="17" t="n"/>
      <c r="B28" s="144" t="s">
        <v>224</v>
      </c>
      <c r="C28" s="3454" t="s"/>
      <c r="D28" s="3455" t="s"/>
      <c r="E28" s="3456" t="s"/>
      <c r="F28" s="3457" t="s"/>
      <c r="G28" s="3458" t="s"/>
      <c r="H28" s="3459" t="s"/>
      <c r="I28" s="3460" t="s"/>
      <c r="J28" s="3461" t="s"/>
      <c r="K28" s="285" t="n">
        <f aca="false" ca="false" dt2D="false" dtr="false" t="normal">(200000+1500000)/218</f>
        <v>7798.165137614679</v>
      </c>
      <c r="N28" s="93" t="n"/>
      <c r="O28" s="93" t="n"/>
      <c r="P28" s="93" t="n"/>
      <c r="Q28" s="93" t="n"/>
      <c r="R28" s="93" t="n"/>
    </row>
    <row customHeight="true" hidden="false" ht="15.75" outlineLevel="0" r="29">
      <c r="A29" s="17" t="n">
        <v>2</v>
      </c>
      <c r="B29" s="144" t="s">
        <v>225</v>
      </c>
      <c r="C29" s="3462" t="s"/>
      <c r="D29" s="3463" t="s"/>
      <c r="E29" s="3465" t="s"/>
      <c r="F29" s="3466" t="s"/>
      <c r="G29" s="3467" t="s"/>
      <c r="H29" s="3468" t="s"/>
      <c r="I29" s="3470" t="s"/>
      <c r="J29" s="3472" t="s"/>
      <c r="K29" s="285" t="n">
        <f aca="false" ca="false" dt2D="false" dtr="false" t="normal">SUM(K30:K31)</f>
        <v>68104.96788990825</v>
      </c>
      <c r="N29" s="93" t="n"/>
      <c r="O29" s="93" t="n"/>
      <c r="P29" s="93" t="n"/>
      <c r="Q29" s="93" t="n"/>
      <c r="R29" s="93" t="n"/>
    </row>
    <row customFormat="true" customHeight="true" hidden="false" ht="15.75" outlineLevel="0" r="30" s="93">
      <c r="A30" s="17" t="n"/>
      <c r="B30" s="310" t="s">
        <v>227</v>
      </c>
      <c r="C30" s="3479" t="s"/>
      <c r="D30" s="3480" t="s"/>
      <c r="E30" s="3481" t="s"/>
      <c r="F30" s="3482" t="s"/>
      <c r="G30" s="3483" t="s"/>
      <c r="H30" s="3484" t="s"/>
      <c r="I30" s="3485" t="s"/>
      <c r="J30" s="3486" t="s"/>
      <c r="K30" s="285" t="n">
        <f aca="false" ca="false" dt2D="false" dtr="false" t="normal">2000000/218</f>
        <v>9174.311926605504</v>
      </c>
      <c r="L30" s="93" t="n"/>
    </row>
    <row customFormat="true" customHeight="true" hidden="false" ht="15.75" outlineLevel="0" r="31" s="93">
      <c r="A31" s="17" t="n"/>
      <c r="B31" s="310" t="s">
        <v>228</v>
      </c>
      <c r="C31" s="3489" t="s"/>
      <c r="D31" s="3490" t="s"/>
      <c r="E31" s="3492" t="s"/>
      <c r="F31" s="3493" t="s"/>
      <c r="G31" s="3494" t="s"/>
      <c r="H31" s="3495" t="s"/>
      <c r="I31" s="3497" t="s"/>
      <c r="J31" s="3499" t="s"/>
      <c r="K31" s="285" t="n">
        <f aca="false" ca="false" dt2D="false" dtr="false" t="normal">(8246883+3800000+800000)/218</f>
        <v>58930.65596330275</v>
      </c>
      <c r="L31" s="93" t="n"/>
    </row>
    <row customFormat="true" customHeight="true" hidden="false" ht="15.75" outlineLevel="0" r="32" s="93">
      <c r="A32" s="17" t="n">
        <v>3</v>
      </c>
      <c r="B32" s="144" t="s">
        <v>230</v>
      </c>
      <c r="C32" s="3502" t="s"/>
      <c r="D32" s="3503" t="s"/>
      <c r="E32" s="3504" t="s"/>
      <c r="F32" s="3505" t="s"/>
      <c r="G32" s="3506" t="s"/>
      <c r="H32" s="3507" t="s"/>
      <c r="I32" s="3508" t="s"/>
      <c r="J32" s="3509" t="s"/>
      <c r="K32" s="285" t="n">
        <f aca="false" ca="false" dt2D="false" dtr="false" t="normal">SUM(M22)</f>
        <v>109.375</v>
      </c>
      <c r="L32" s="93" t="n"/>
    </row>
    <row customFormat="true" customHeight="true" hidden="false" ht="15.75" outlineLevel="0" r="33" s="93">
      <c r="A33" s="17" t="n"/>
      <c r="B33" s="276" t="s">
        <v>183</v>
      </c>
      <c r="C33" s="3513" t="s"/>
      <c r="D33" s="3514" t="s"/>
      <c r="E33" s="3515" t="s"/>
      <c r="F33" s="3516" t="s"/>
      <c r="G33" s="3517" t="s"/>
      <c r="H33" s="3518" t="s"/>
      <c r="I33" s="3519" t="s"/>
      <c r="J33" s="3520" t="s"/>
      <c r="K33" s="285" t="n">
        <f aca="false" ca="false" dt2D="false" dtr="false" t="normal">K29+K32</f>
        <v>68214.34288990825</v>
      </c>
      <c r="L33" s="93" t="n"/>
      <c r="M33" s="93" t="n"/>
    </row>
    <row customFormat="true" customHeight="true" hidden="false" ht="15.75" outlineLevel="0" r="34" s="93">
      <c r="A34" s="17" t="n">
        <v>4</v>
      </c>
      <c r="B34" s="144" t="s">
        <v>231</v>
      </c>
      <c r="C34" s="3526" t="s"/>
      <c r="D34" s="3527" t="s"/>
      <c r="E34" s="3528" t="s"/>
      <c r="F34" s="3529" t="s"/>
      <c r="G34" s="3530" t="s"/>
      <c r="H34" s="3531" t="s"/>
      <c r="I34" s="3532" t="s"/>
      <c r="J34" s="3533" t="s"/>
      <c r="K34" s="285" t="n">
        <f aca="false" ca="false" dt2D="false" dtr="false" t="normal">SUM(D11)</f>
        <v>89466.93000000001</v>
      </c>
      <c r="L34" s="93" t="n"/>
      <c r="M34" s="93" t="n"/>
    </row>
    <row customFormat="true" customHeight="true" hidden="false" ht="15.75" outlineLevel="0" r="35" s="93">
      <c r="A35" s="17" t="n">
        <v>5</v>
      </c>
      <c r="B35" s="276" t="s">
        <v>234</v>
      </c>
      <c r="C35" s="3534" t="s"/>
      <c r="D35" s="3535" t="s"/>
      <c r="E35" s="3536" t="s"/>
      <c r="F35" s="3537" t="s"/>
      <c r="G35" s="3538" t="s"/>
      <c r="H35" s="3539" t="s"/>
      <c r="I35" s="3540" t="s"/>
      <c r="J35" s="3541" t="s"/>
      <c r="K35" s="285" t="n">
        <f aca="false" ca="false" dt2D="false" dtr="false" t="normal">(K26+K29+K32)/K34</f>
        <v>1.9110895321849621</v>
      </c>
      <c r="L35" s="93" t="n"/>
      <c r="M35" s="93" t="n"/>
    </row>
    <row customHeight="true" hidden="false" ht="15.75" outlineLevel="0" r="36">
      <c r="A36" s="17" t="n">
        <f aca="false" ca="false" dt2D="false" dtr="false" t="normal">SUM(A35+1)</f>
        <v>6</v>
      </c>
      <c r="B36" s="144" t="s">
        <v>235</v>
      </c>
      <c r="C36" s="3545" t="s"/>
      <c r="D36" s="3546" t="s"/>
      <c r="E36" s="3547" t="s"/>
      <c r="F36" s="3548" t="s"/>
      <c r="G36" s="3550" t="s"/>
      <c r="H36" s="3551" t="s"/>
      <c r="I36" s="3552" t="s"/>
      <c r="J36" s="3553" t="s"/>
      <c r="K36" s="285" t="n">
        <f aca="false" ca="false" dt2D="false" dtr="false" t="normal">SUM(L11+L17+M22)</f>
        <v>7447.322500000001</v>
      </c>
    </row>
    <row customHeight="true" hidden="false" ht="15.75" outlineLevel="0" r="37">
      <c r="A37" s="3558" t="n">
        <v>7</v>
      </c>
      <c r="B37" s="276" t="s">
        <v>236</v>
      </c>
      <c r="C37" s="3560" t="s"/>
      <c r="D37" s="3563" t="s"/>
      <c r="E37" s="3564" t="s"/>
      <c r="F37" s="3565" t="s"/>
      <c r="G37" s="3567" t="s"/>
      <c r="H37" s="3569" t="s"/>
      <c r="I37" s="3570" t="s"/>
      <c r="J37" s="3572" t="s"/>
      <c r="K37" s="395" t="n">
        <f aca="false" ca="false" dt2D="false" dtr="false" t="normal">SUM(K36*K35)</f>
        <v>14232.500072555546</v>
      </c>
    </row>
    <row hidden="false" ht="12.75" outlineLevel="0" r="38">
      <c r="A38" s="3576" t="n"/>
      <c r="B38" s="398" t="n"/>
      <c r="C38" s="398" t="n"/>
      <c r="D38" s="398" t="n"/>
      <c r="E38" s="398" t="n"/>
      <c r="F38" s="398" t="n"/>
      <c r="G38" s="398" t="n"/>
      <c r="H38" s="398" t="n"/>
      <c r="I38" s="398" t="n"/>
      <c r="J38" s="398" t="n"/>
      <c r="K38" s="398" t="n"/>
    </row>
    <row customHeight="true" hidden="false" ht="39.75" outlineLevel="0" r="39">
      <c r="A39" s="403" t="s">
        <v>352</v>
      </c>
      <c r="B39" s="403" t="s"/>
      <c r="C39" s="403" t="s"/>
      <c r="D39" s="403" t="s"/>
      <c r="E39" s="403" t="s"/>
      <c r="F39" s="403" t="s"/>
      <c r="G39" s="403" t="s"/>
      <c r="H39" s="403" t="s"/>
      <c r="I39" s="403" t="s"/>
      <c r="J39" s="403" t="s"/>
      <c r="K39" s="403" t="s"/>
    </row>
    <row customHeight="true" hidden="false" ht="31.5" outlineLevel="0" r="40">
      <c r="A40" s="169" t="s">
        <v>239</v>
      </c>
      <c r="B40" s="169" t="s">
        <v>240</v>
      </c>
      <c r="C40" s="3586" t="s"/>
      <c r="D40" s="3587" t="s"/>
      <c r="E40" s="3588" t="s"/>
      <c r="F40" s="3589" t="s"/>
      <c r="G40" s="3591" t="s"/>
      <c r="H40" s="3592" t="s"/>
      <c r="I40" s="3593" t="s"/>
      <c r="J40" s="3595" t="s"/>
      <c r="K40" s="417" t="s">
        <v>241</v>
      </c>
    </row>
    <row customHeight="true" hidden="false" ht="31.5" outlineLevel="0" r="41">
      <c r="A41" s="67" t="n">
        <v>1</v>
      </c>
      <c r="B41" s="177" t="s">
        <v>242</v>
      </c>
      <c r="C41" s="3600" t="s"/>
      <c r="D41" s="3601" t="s"/>
      <c r="E41" s="3602" t="s"/>
      <c r="F41" s="3604" t="s"/>
      <c r="G41" s="3605" t="s"/>
      <c r="H41" s="3607" t="s"/>
      <c r="I41" s="3609" t="s"/>
      <c r="J41" s="3610" t="s"/>
      <c r="K41" s="434" t="n">
        <f aca="false" ca="false" dt2D="false" dtr="false" t="normal">SUM(L11)</f>
        <v>3195.2475000000004</v>
      </c>
    </row>
    <row customHeight="true" hidden="false" ht="26.25" outlineLevel="0" r="42">
      <c r="A42" s="67" t="n">
        <v>2</v>
      </c>
      <c r="B42" s="189" t="s">
        <v>243</v>
      </c>
      <c r="C42" s="3611" t="s"/>
      <c r="D42" s="3612" t="s"/>
      <c r="E42" s="3613" t="s"/>
      <c r="F42" s="3614" t="s"/>
      <c r="G42" s="3615" t="s"/>
      <c r="H42" s="3616" t="s"/>
      <c r="I42" s="3617" t="s"/>
      <c r="J42" s="3618" t="s"/>
      <c r="K42" s="434" t="n">
        <f aca="false" ca="false" dt2D="false" dtr="false" t="normal">SUM(L11)</f>
        <v>3195.2475000000004</v>
      </c>
    </row>
    <row customHeight="true" hidden="false" ht="30.75" outlineLevel="0" r="43">
      <c r="A43" s="67" t="n">
        <v>3</v>
      </c>
      <c r="B43" s="177" t="s">
        <v>244</v>
      </c>
      <c r="C43" s="3619" t="s"/>
      <c r="D43" s="3620" t="s"/>
      <c r="E43" s="3621" t="s"/>
      <c r="F43" s="3622" t="s"/>
      <c r="G43" s="3623" t="s"/>
      <c r="H43" s="3624" t="s"/>
      <c r="I43" s="3625" t="s"/>
      <c r="J43" s="3626" t="s"/>
      <c r="K43" s="434" t="n">
        <f aca="false" ca="false" dt2D="false" dtr="false" t="normal">SUM(M22)</f>
        <v>109.375</v>
      </c>
    </row>
    <row customHeight="true" hidden="false" ht="15.75" outlineLevel="0" r="44">
      <c r="A44" s="67" t="n">
        <v>4</v>
      </c>
      <c r="B44" s="177" t="s">
        <v>245</v>
      </c>
      <c r="C44" s="3632" t="s"/>
      <c r="D44" s="3635" t="s"/>
      <c r="E44" s="3636" t="s"/>
      <c r="F44" s="3637" t="s"/>
      <c r="G44" s="3638" t="s"/>
      <c r="H44" s="3640" t="s"/>
      <c r="I44" s="3641" t="s"/>
      <c r="J44" s="3642" t="s"/>
      <c r="K44" s="434" t="n">
        <f aca="false" ca="false" dt2D="false" dtr="false" t="normal">SUM(K37)</f>
        <v>14232.500072555546</v>
      </c>
    </row>
    <row customHeight="true" hidden="false" ht="15.75" outlineLevel="0" r="45">
      <c r="A45" s="67" t="n">
        <v>5</v>
      </c>
      <c r="B45" s="189" t="s">
        <v>247</v>
      </c>
      <c r="C45" s="3646" t="s"/>
      <c r="D45" s="3647" t="s"/>
      <c r="E45" s="3648" t="s"/>
      <c r="F45" s="3649" t="s"/>
      <c r="G45" s="3650" t="s"/>
      <c r="H45" s="3651" t="s"/>
      <c r="I45" s="3652" t="s"/>
      <c r="J45" s="3653" t="s"/>
      <c r="K45" s="434" t="n">
        <f aca="false" ca="false" dt2D="false" dtr="false" t="normal">SUM(K41:K44)</f>
        <v>20732.370072555546</v>
      </c>
    </row>
    <row customHeight="true" hidden="false" ht="15.75" outlineLevel="0" r="46">
      <c r="A46" s="67" t="n"/>
      <c r="B46" s="492" t="s">
        <v>354</v>
      </c>
      <c r="C46" s="3658" t="s"/>
      <c r="D46" s="3659" t="s"/>
      <c r="E46" s="3660" t="s"/>
      <c r="F46" s="3661" t="s"/>
      <c r="G46" s="3662" t="s"/>
      <c r="H46" s="3663" t="s"/>
      <c r="I46" s="3664" t="s"/>
      <c r="J46" s="494" t="n"/>
      <c r="K46" s="434" t="n">
        <f aca="false" ca="false" dt2D="false" dtr="false" t="normal">SUM(K45/35)-92</f>
        <v>500.3534306444442</v>
      </c>
    </row>
    <row customHeight="true" hidden="false" ht="15.75" outlineLevel="0" r="47">
      <c r="A47" s="3672" t="n">
        <v>6</v>
      </c>
      <c r="B47" s="3673" t="s">
        <v>208</v>
      </c>
      <c r="C47" s="3675" t="s"/>
      <c r="D47" s="3676" t="s"/>
      <c r="E47" s="3677" t="s"/>
      <c r="F47" s="3678" t="s"/>
      <c r="G47" s="3679" t="s"/>
      <c r="H47" s="3680" t="s"/>
      <c r="I47" s="3681" t="s"/>
      <c r="J47" s="3682" t="s"/>
      <c r="K47" s="3683" t="n">
        <f aca="false" ca="false" dt2D="false" dtr="false" t="normal">SUM(K46*0.22)</f>
        <v>110.07775474177772</v>
      </c>
    </row>
    <row customHeight="true" hidden="false" ht="15.75" outlineLevel="0" r="48">
      <c r="A48" s="67" t="n"/>
      <c r="B48" s="3673" t="s">
        <v>355</v>
      </c>
      <c r="C48" s="3685" t="s"/>
      <c r="D48" s="3686" t="s"/>
      <c r="E48" s="3687" t="s"/>
      <c r="F48" s="3688" t="s"/>
      <c r="G48" s="3689" t="s"/>
      <c r="H48" s="3690" t="s"/>
      <c r="I48" s="3691" t="s"/>
      <c r="J48" s="3692" t="s"/>
      <c r="K48" s="3693" t="n">
        <f aca="false" ca="false" dt2D="false" dtr="false" t="normal">SUM(K46:K47)-10</f>
        <v>600.431185386222</v>
      </c>
    </row>
    <row customHeight="true" hidden="false" ht="15.75" outlineLevel="0" r="49">
      <c r="A49" s="3694" t="s"/>
      <c r="B49" s="177" t="s">
        <v>356</v>
      </c>
      <c r="C49" s="3695" t="s"/>
      <c r="D49" s="3696" t="s"/>
      <c r="E49" s="3697" t="s"/>
      <c r="F49" s="3698" t="s"/>
      <c r="G49" s="3699" t="s"/>
      <c r="H49" s="3700" t="s"/>
      <c r="I49" s="3701" t="s"/>
      <c r="J49" s="3702" t="s"/>
      <c r="K49" s="512" t="n">
        <f aca="false" ca="false" dt2D="false" dtr="false" t="normal">SUM(K48/2)</f>
        <v>300.215592693111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86">
    <mergeCell ref="B1:N1"/>
    <mergeCell ref="B7:N7"/>
    <mergeCell ref="B9:C9"/>
    <mergeCell ref="G9:H9"/>
    <mergeCell ref="B11:C11"/>
    <mergeCell ref="D11:F11"/>
    <mergeCell ref="G11:H11"/>
    <mergeCell ref="I11:K11"/>
    <mergeCell ref="L11:N11"/>
    <mergeCell ref="G12:H12"/>
    <mergeCell ref="D12:F12"/>
    <mergeCell ref="B12:C12"/>
    <mergeCell ref="I12:K12"/>
    <mergeCell ref="L12:N12"/>
    <mergeCell ref="D9:F9"/>
    <mergeCell ref="B10:C10"/>
    <mergeCell ref="D10:F10"/>
    <mergeCell ref="I9:K9"/>
    <mergeCell ref="L9:N9"/>
    <mergeCell ref="I10:K10"/>
    <mergeCell ref="L10:N10"/>
    <mergeCell ref="G10:H10"/>
    <mergeCell ref="B13:F13"/>
    <mergeCell ref="B14:C14"/>
    <mergeCell ref="D14:F14"/>
    <mergeCell ref="G13:H13"/>
    <mergeCell ref="G14:H14"/>
    <mergeCell ref="I13:K13"/>
    <mergeCell ref="L13:N13"/>
    <mergeCell ref="I14:K14"/>
    <mergeCell ref="L14:N14"/>
    <mergeCell ref="L15:N15"/>
    <mergeCell ref="L16:N16"/>
    <mergeCell ref="I15:K15"/>
    <mergeCell ref="I16:K16"/>
    <mergeCell ref="L17:N17"/>
    <mergeCell ref="I17:K17"/>
    <mergeCell ref="G15:H15"/>
    <mergeCell ref="G16:H16"/>
    <mergeCell ref="G17:H17"/>
    <mergeCell ref="D15:F15"/>
    <mergeCell ref="D16:F16"/>
    <mergeCell ref="B15:C15"/>
    <mergeCell ref="B16:C16"/>
    <mergeCell ref="B17:C17"/>
    <mergeCell ref="D17:F17"/>
    <mergeCell ref="D20:F20"/>
    <mergeCell ref="B20:C20"/>
    <mergeCell ref="M20:N20"/>
    <mergeCell ref="M21:N21"/>
    <mergeCell ref="J20:L20"/>
    <mergeCell ref="J21:L21"/>
    <mergeCell ref="M22:N22"/>
    <mergeCell ref="H20:I20"/>
    <mergeCell ref="J22:L22"/>
    <mergeCell ref="H21:I21"/>
    <mergeCell ref="H22:I22"/>
    <mergeCell ref="D21:F21"/>
    <mergeCell ref="B21:C21"/>
    <mergeCell ref="B22:C22"/>
    <mergeCell ref="D22:F22"/>
    <mergeCell ref="B25:J2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A39:K39"/>
    <mergeCell ref="B40:J40"/>
    <mergeCell ref="B41:J41"/>
    <mergeCell ref="B42:J42"/>
    <mergeCell ref="B43:J43"/>
    <mergeCell ref="B44:J44"/>
    <mergeCell ref="B45:J45"/>
    <mergeCell ref="B46:I46"/>
    <mergeCell ref="B47:J47"/>
    <mergeCell ref="A48:A49"/>
    <mergeCell ref="B48:J48"/>
    <mergeCell ref="B49:J49"/>
  </mergeCells>
  <pageMargins bottom="1" footer="0.511811017990112" header="0.511811017990112" left="1" right="1" top="1"/>
  <pageSetup fitToHeight="1" fitToWidth="1" orientation="portrait" paperHeight="297mm" paperSize="9" paperWidth="210mm" scale="100"/>
</worksheet>
</file>

<file path=xl/worksheets/sheet18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32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2" min="2" outlineLevel="0" style="398" width="10.2697046882885"/>
    <col customWidth="true" hidden="false" max="3" min="3" outlineLevel="0" style="398" width="28.0271200455666"/>
    <col customWidth="true" hidden="false" max="4" min="4" outlineLevel="0" style="398" width="17.0471183640548"/>
    <col customWidth="true" hidden="false" max="5" min="5" outlineLevel="0" style="398" width="18.7340719467154"/>
    <col customWidth="true" hidden="false" max="6" min="6" outlineLevel="0" style="398" width="15.2023205540125"/>
  </cols>
  <sheetData>
    <row hidden="false" ht="12.75" outlineLevel="0" r="2">
      <c r="A2" s="1533" t="n"/>
      <c r="B2" s="1533" t="n"/>
      <c r="C2" s="93" t="n"/>
      <c r="D2" s="1533" t="n"/>
    </row>
    <row hidden="false" ht="15.75" outlineLevel="0" r="3">
      <c r="A3" s="1533" t="n"/>
      <c r="B3" s="1533" t="n"/>
      <c r="E3" s="101" t="s">
        <v>175</v>
      </c>
    </row>
    <row hidden="false" ht="15.75" outlineLevel="0" r="4">
      <c r="A4" s="1533" t="n"/>
      <c r="B4" s="1533" t="n"/>
      <c r="E4" s="105" t="s">
        <v>176</v>
      </c>
    </row>
    <row hidden="false" ht="15.75" outlineLevel="0" r="5">
      <c r="A5" s="1533" t="n"/>
      <c r="B5" s="1533" t="n"/>
      <c r="E5" s="101" t="s">
        <v>226</v>
      </c>
    </row>
    <row hidden="false" ht="15.75" outlineLevel="0" r="6">
      <c r="A6" s="1533" t="n"/>
      <c r="B6" s="1533" t="n"/>
      <c r="E6" s="105" t="s">
        <v>178</v>
      </c>
    </row>
    <row customHeight="true" hidden="false" ht="15.75" outlineLevel="0" r="7">
      <c r="A7" s="3306" t="s">
        <v>357</v>
      </c>
      <c r="B7" s="3306" t="s"/>
      <c r="C7" s="3306" t="s"/>
      <c r="D7" s="3306" t="s"/>
      <c r="E7" s="3306" t="s"/>
      <c r="F7" s="3306" t="s"/>
      <c r="G7" s="3306" t="s"/>
    </row>
    <row hidden="false" ht="15.75" outlineLevel="0" r="8">
      <c r="A8" s="101" t="s">
        <v>232</v>
      </c>
      <c r="B8" s="4" t="n"/>
      <c r="C8" s="4" t="n"/>
      <c r="D8" s="4" t="n"/>
      <c r="E8" s="4" t="n"/>
      <c r="F8" s="4" t="n"/>
      <c r="G8" s="4" t="n"/>
    </row>
    <row customHeight="true" hidden="false" ht="78.75" outlineLevel="0" r="9">
      <c r="A9" s="129" t="s">
        <v>184</v>
      </c>
      <c r="B9" s="3705" t="s"/>
      <c r="C9" s="129" t="s">
        <v>233</v>
      </c>
      <c r="D9" s="129" t="s">
        <v>186</v>
      </c>
      <c r="E9" s="129" t="s">
        <v>187</v>
      </c>
      <c r="F9" s="129" t="s">
        <v>266</v>
      </c>
    </row>
    <row customHeight="true" hidden="false" ht="15.75" outlineLevel="0" r="10">
      <c r="A10" s="32" t="s">
        <v>362</v>
      </c>
      <c r="B10" s="3706" t="s"/>
      <c r="C10" s="225" t="n">
        <f aca="false" ca="false" dt2D="false" dtr="false" t="normal">68946*1.302</f>
        <v>89767.69200000001</v>
      </c>
      <c r="D10" s="3178" t="n">
        <v>10080</v>
      </c>
      <c r="E10" s="3178" t="n">
        <f aca="false" ca="false" dt2D="false" dtr="false" t="normal">7.5*60</f>
        <v>450</v>
      </c>
      <c r="F10" s="3314" t="n">
        <f aca="false" ca="false" dt2D="false" dtr="false" t="normal">C10/D10*E10</f>
        <v>4007.4862500000004</v>
      </c>
    </row>
    <row customHeight="true" hidden="false" ht="15.75" outlineLevel="0" r="11">
      <c r="A11" s="32" t="s">
        <v>183</v>
      </c>
      <c r="B11" s="3710" t="s"/>
      <c r="C11" s="225" t="n">
        <f aca="false" ca="false" dt2D="false" dtr="false" t="normal">SUM(C10)</f>
        <v>89767.69200000001</v>
      </c>
      <c r="D11" s="3178" t="n">
        <f aca="false" ca="false" dt2D="false" dtr="false" t="normal">SUM(D10)</f>
        <v>10080</v>
      </c>
      <c r="E11" s="3178" t="n">
        <f aca="false" ca="false" dt2D="false" dtr="false" t="normal">SUM(E10)</f>
        <v>450</v>
      </c>
      <c r="F11" s="3715" t="n">
        <f aca="false" ca="false" dt2D="false" dtr="false" t="normal">SUM(F10)</f>
        <v>4007.4862500000004</v>
      </c>
    </row>
    <row hidden="false" ht="15.75" outlineLevel="0" r="12">
      <c r="A12" s="188" t="n"/>
      <c r="B12" s="188" t="s"/>
      <c r="C12" s="119" t="n"/>
      <c r="D12" s="119" t="n"/>
      <c r="E12" s="119" t="s"/>
      <c r="F12" s="119" t="n"/>
      <c r="G12" s="119" t="s"/>
    </row>
    <row customHeight="true" hidden="false" ht="15.75" outlineLevel="0" r="13">
      <c r="A13" s="195" t="s">
        <v>198</v>
      </c>
      <c r="B13" s="195" t="s"/>
      <c r="C13" s="195" t="s"/>
      <c r="D13" s="119" t="n"/>
      <c r="E13" s="119" t="s"/>
      <c r="F13" s="119" t="n"/>
      <c r="G13" s="119" t="s"/>
    </row>
    <row customHeight="true" hidden="false" ht="78.75" outlineLevel="0" r="14">
      <c r="A14" s="129" t="s">
        <v>200</v>
      </c>
      <c r="B14" s="3720" t="s"/>
      <c r="C14" s="129" t="s">
        <v>201</v>
      </c>
      <c r="D14" s="129" t="s">
        <v>202</v>
      </c>
      <c r="E14" s="129" t="s">
        <v>365</v>
      </c>
      <c r="F14" s="129" t="s">
        <v>366</v>
      </c>
    </row>
    <row customHeight="true" hidden="false" ht="15.75" outlineLevel="0" r="15">
      <c r="A15" s="32" t="s">
        <v>367</v>
      </c>
      <c r="B15" s="3723" t="s"/>
      <c r="C15" s="3724" t="s">
        <v>207</v>
      </c>
      <c r="D15" s="3204" t="n">
        <v>700</v>
      </c>
      <c r="E15" s="3204" t="n">
        <v>980</v>
      </c>
      <c r="F15" s="3725" t="n">
        <f aca="false" ca="false" dt2D="false" dtr="false" t="normal">E15/D15</f>
        <v>1.4</v>
      </c>
    </row>
    <row customHeight="true" hidden="false" ht="15.75" outlineLevel="0" r="16">
      <c r="A16" s="32" t="s">
        <v>183</v>
      </c>
      <c r="B16" s="3727" t="s"/>
      <c r="C16" s="95" t="n"/>
      <c r="D16" s="3178" t="n"/>
      <c r="E16" s="3178" t="n"/>
      <c r="F16" s="3729" t="n">
        <f aca="false" ca="false" dt2D="false" dtr="false" t="normal">SUM(F15)</f>
        <v>1.4</v>
      </c>
    </row>
    <row hidden="false" ht="15.75" outlineLevel="0" r="17">
      <c r="A17" s="119" t="n"/>
      <c r="B17" s="119" t="n"/>
      <c r="C17" s="119" t="n"/>
      <c r="D17" s="119" t="n"/>
      <c r="E17" s="119" t="n"/>
      <c r="F17" s="119" t="n"/>
      <c r="G17" s="119" t="n"/>
    </row>
    <row hidden="false" ht="15.75" outlineLevel="0" r="18">
      <c r="A18" s="105" t="s">
        <v>212</v>
      </c>
      <c r="B18" s="4" t="n"/>
      <c r="C18" s="4" t="n"/>
      <c r="D18" s="4" t="n"/>
      <c r="E18" s="4" t="n"/>
      <c r="F18" s="4" t="n"/>
      <c r="G18" s="4" t="n"/>
    </row>
    <row customHeight="true" hidden="false" ht="141.75" outlineLevel="0" r="19">
      <c r="A19" s="129" t="s">
        <v>213</v>
      </c>
      <c r="B19" s="3703" t="s"/>
      <c r="C19" s="129" t="s">
        <v>214</v>
      </c>
      <c r="D19" s="129" t="s">
        <v>215</v>
      </c>
      <c r="E19" s="169" t="s">
        <v>358</v>
      </c>
      <c r="F19" s="129" t="s">
        <v>217</v>
      </c>
      <c r="G19" s="129" t="s">
        <v>359</v>
      </c>
    </row>
    <row customHeight="true" hidden="false" ht="34.5" outlineLevel="0" r="20">
      <c r="A20" s="144" t="s">
        <v>360</v>
      </c>
      <c r="B20" s="3704" t="s"/>
      <c r="C20" s="159" t="n">
        <v>5190</v>
      </c>
      <c r="D20" s="3267" t="n">
        <v>0.33</v>
      </c>
      <c r="E20" s="44" t="s">
        <v>361</v>
      </c>
      <c r="F20" s="159" t="n">
        <v>1</v>
      </c>
      <c r="G20" s="164" t="n">
        <f aca="false" ca="false" dt2D="false" dtr="false" t="normal">C20*D20/E20*F20</f>
        <v>4.692328767123287</v>
      </c>
    </row>
    <row customHeight="true" hidden="false" ht="15.75" outlineLevel="0" r="21">
      <c r="A21" s="32" t="s">
        <v>183</v>
      </c>
      <c r="B21" s="3707" t="s"/>
      <c r="C21" s="95" t="n"/>
      <c r="D21" s="3274" t="n"/>
      <c r="E21" s="3708" t="n"/>
      <c r="F21" s="3178" t="n"/>
      <c r="G21" s="3709" t="n">
        <f aca="false" ca="false" dt2D="false" dtr="false" t="normal">SUM(G20)</f>
        <v>4.692328767123287</v>
      </c>
    </row>
    <row hidden="false" ht="15.75" outlineLevel="0" r="22">
      <c r="A22" s="4" t="n"/>
      <c r="B22" s="4" t="n"/>
      <c r="C22" s="4" t="n"/>
      <c r="D22" s="4" t="n"/>
      <c r="E22" s="4" t="n"/>
      <c r="F22" s="4" t="n"/>
      <c r="G22" s="4" t="n"/>
    </row>
    <row customHeight="true" hidden="false" ht="44.25" outlineLevel="0" r="23">
      <c r="A23" s="4" t="n"/>
      <c r="B23" s="3711" t="s">
        <v>363</v>
      </c>
      <c r="C23" s="3712" t="s"/>
      <c r="D23" s="3713" t="s"/>
      <c r="E23" s="4" t="n"/>
      <c r="F23" s="4" t="n"/>
      <c r="G23" s="4" t="n"/>
    </row>
    <row hidden="false" ht="31.5" outlineLevel="0" r="24">
      <c r="A24" s="163" t="n"/>
      <c r="B24" s="67" t="s">
        <v>191</v>
      </c>
      <c r="C24" s="3714" t="s"/>
      <c r="D24" s="3183" t="s">
        <v>192</v>
      </c>
      <c r="E24" s="3716" t="s">
        <v>241</v>
      </c>
      <c r="F24" s="4" t="n"/>
      <c r="G24" s="4" t="n"/>
    </row>
    <row customHeight="true" hidden="false" ht="47.25" outlineLevel="0" r="25">
      <c r="A25" s="20" t="n">
        <v>1</v>
      </c>
      <c r="B25" s="3717" t="s">
        <v>364</v>
      </c>
      <c r="C25" s="3718" t="s"/>
      <c r="D25" s="3719" t="s">
        <v>195</v>
      </c>
      <c r="E25" s="434" t="n">
        <f aca="false" ca="false" dt2D="false" dtr="false" t="normal">F11</f>
        <v>4007.4862500000004</v>
      </c>
      <c r="F25" s="4" t="n"/>
      <c r="G25" s="4" t="n"/>
    </row>
    <row customHeight="true" hidden="false" ht="42" outlineLevel="0" r="26">
      <c r="A26" s="20" t="n">
        <v>2</v>
      </c>
      <c r="B26" s="3721" t="s">
        <v>196</v>
      </c>
      <c r="C26" s="3722" t="s"/>
      <c r="D26" s="3719" t="s">
        <v>197</v>
      </c>
      <c r="E26" s="434" t="n">
        <f aca="false" ca="false" dt2D="false" dtr="false" t="normal">F16</f>
        <v>1.4</v>
      </c>
      <c r="F26" s="4" t="n"/>
      <c r="G26" s="4" t="n"/>
    </row>
    <row customHeight="true" hidden="false" ht="36.75" outlineLevel="0" r="27">
      <c r="A27" s="20" t="n">
        <v>3</v>
      </c>
      <c r="B27" s="3721" t="s">
        <v>199</v>
      </c>
      <c r="C27" s="3726" t="s"/>
      <c r="D27" s="3719" t="s">
        <v>197</v>
      </c>
      <c r="E27" s="3728" t="n">
        <f aca="false" ca="false" dt2D="false" dtr="false" t="normal">G21</f>
        <v>4.692328767123287</v>
      </c>
      <c r="F27" s="4" t="n"/>
      <c r="G27" s="4" t="n"/>
    </row>
    <row customHeight="true" hidden="false" ht="15.75" outlineLevel="0" r="28">
      <c r="A28" s="20" t="n">
        <v>4</v>
      </c>
      <c r="B28" s="3730" t="s">
        <v>368</v>
      </c>
      <c r="C28" s="3731" t="s"/>
      <c r="D28" s="3719" t="n"/>
      <c r="E28" s="3728" t="n">
        <f aca="false" ca="false" dt2D="false" dtr="false" t="normal">(E25+E26+E27)*10%</f>
        <v>401.3578578767124</v>
      </c>
      <c r="F28" s="4" t="n"/>
      <c r="G28" s="4" t="n"/>
    </row>
    <row customHeight="true" hidden="false" ht="15.75" outlineLevel="0" r="29">
      <c r="A29" s="20" t="n">
        <v>5</v>
      </c>
      <c r="B29" s="266" t="s">
        <v>183</v>
      </c>
      <c r="C29" s="3732" t="s"/>
      <c r="D29" s="3733" t="s">
        <v>197</v>
      </c>
      <c r="E29" s="3728" t="n">
        <f aca="false" ca="false" dt2D="false" dtr="false" t="normal">E25+E26+E27+E28</f>
        <v>4414.936436643837</v>
      </c>
      <c r="F29" s="4" t="n"/>
      <c r="G29" s="4" t="n"/>
    </row>
    <row customHeight="true" hidden="false" ht="15.75" outlineLevel="0" r="30">
      <c r="A30" s="20" t="n">
        <v>6</v>
      </c>
      <c r="B30" s="196" t="s">
        <v>208</v>
      </c>
      <c r="C30" s="3735" t="s"/>
      <c r="D30" s="20" t="s">
        <v>197</v>
      </c>
      <c r="E30" s="3728" t="n">
        <f aca="false" ca="false" dt2D="false" dtr="false" t="normal">SUM(E29*0.22)</f>
        <v>971.2860160616441</v>
      </c>
      <c r="F30" s="4" t="n"/>
      <c r="G30" s="4" t="n"/>
    </row>
    <row customHeight="true" hidden="false" ht="15.75" outlineLevel="0" r="31">
      <c r="A31" s="20" t="n"/>
      <c r="B31" s="196" t="s">
        <v>369</v>
      </c>
      <c r="C31" s="3734" t="s"/>
      <c r="D31" s="20" t="s">
        <v>197</v>
      </c>
      <c r="E31" s="3736" t="n">
        <f aca="false" ca="false" dt2D="false" dtr="false" t="normal">SUM(E29+E30)/16-7</f>
        <v>329.63890329409253</v>
      </c>
      <c r="F31" s="4" t="n"/>
      <c r="G31" s="4" t="n"/>
    </row>
    <row customHeight="true" hidden="false" ht="15.75" outlineLevel="0" r="32">
      <c r="A32" s="20" t="n"/>
      <c r="B32" s="196" t="s">
        <v>370</v>
      </c>
      <c r="C32" s="3737" t="s"/>
      <c r="D32" s="20" t="s">
        <v>197</v>
      </c>
      <c r="E32" s="3736" t="n">
        <f aca="false" ca="false" dt2D="false" dtr="false" t="normal">SUM(E31)/2</f>
        <v>164.81945164704626</v>
      </c>
      <c r="F32" s="4" t="n"/>
      <c r="G32" s="4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26">
    <mergeCell ref="A7:G7"/>
    <mergeCell ref="F12:G12"/>
    <mergeCell ref="F13:G13"/>
    <mergeCell ref="D12:E12"/>
    <mergeCell ref="D13:E13"/>
    <mergeCell ref="A9:B9"/>
    <mergeCell ref="A10:B10"/>
    <mergeCell ref="A11:B11"/>
    <mergeCell ref="A12:B12"/>
    <mergeCell ref="A13:C13"/>
    <mergeCell ref="A14:B14"/>
    <mergeCell ref="A15:B15"/>
    <mergeCell ref="A16:B16"/>
    <mergeCell ref="B27:C27"/>
    <mergeCell ref="B26:C26"/>
    <mergeCell ref="B25:C25"/>
    <mergeCell ref="B24:C24"/>
    <mergeCell ref="B23:D23"/>
    <mergeCell ref="A21:B21"/>
    <mergeCell ref="A20:B20"/>
    <mergeCell ref="A19:B19"/>
    <mergeCell ref="B28:C28"/>
    <mergeCell ref="B29:C29"/>
    <mergeCell ref="B30:C30"/>
    <mergeCell ref="B31:C31"/>
    <mergeCell ref="B32:C32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xl/worksheets/sheet19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22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3" min="3" outlineLevel="0" style="398" width="23.2424833121791"/>
    <col customWidth="true" hidden="false" max="4" min="4" outlineLevel="0" style="398" width="16.1987080102048"/>
    <col customWidth="true" hidden="false" max="5" min="5" outlineLevel="0" style="398" width="15.3502990096843"/>
    <col customWidth="true" hidden="false" max="6" min="6" outlineLevel="0" style="398" width="17.1852310480166"/>
    <col customWidth="true" hidden="false" max="7" min="7" outlineLevel="0" style="398" width="17.7475489089035"/>
  </cols>
  <sheetData>
    <row hidden="false" ht="12.75" outlineLevel="0" r="1">
      <c r="A1" s="1533" t="n"/>
      <c r="B1" s="1533" t="n"/>
      <c r="C1" s="93" t="n"/>
      <c r="D1" s="1533" t="n"/>
    </row>
    <row hidden="false" ht="15.75" outlineLevel="0" r="2">
      <c r="A2" s="1533" t="n"/>
      <c r="B2" s="1533" t="n"/>
      <c r="E2" s="101" t="s">
        <v>175</v>
      </c>
    </row>
    <row hidden="false" ht="15.75" outlineLevel="0" r="3">
      <c r="A3" s="1533" t="n"/>
      <c r="B3" s="1533" t="n"/>
      <c r="E3" s="105" t="s">
        <v>176</v>
      </c>
    </row>
    <row hidden="false" ht="15.75" outlineLevel="0" r="4">
      <c r="A4" s="1533" t="n"/>
      <c r="B4" s="1533" t="n"/>
      <c r="E4" s="101" t="s">
        <v>226</v>
      </c>
    </row>
    <row hidden="false" ht="15.75" outlineLevel="0" r="5">
      <c r="A5" s="1533" t="n"/>
      <c r="B5" s="1533" t="n"/>
      <c r="E5" s="105" t="s">
        <v>178</v>
      </c>
    </row>
    <row hidden="false" ht="15.75" outlineLevel="0" r="6">
      <c r="A6" s="1533" t="n"/>
      <c r="B6" s="1533" t="n"/>
      <c r="E6" s="105" t="n"/>
    </row>
    <row customHeight="true" hidden="false" ht="65.25" outlineLevel="0" r="7">
      <c r="A7" s="1533" t="n"/>
      <c r="B7" s="3306" t="s">
        <v>2</v>
      </c>
      <c r="C7" s="3306" t="s"/>
      <c r="D7" s="3306" t="s"/>
      <c r="E7" s="3306" t="s"/>
      <c r="F7" s="3306" t="s"/>
    </row>
    <row hidden="false" ht="15.75" outlineLevel="0" r="8">
      <c r="A8" s="101" t="s">
        <v>232</v>
      </c>
      <c r="B8" s="4" t="n"/>
      <c r="C8" s="4" t="n"/>
      <c r="D8" s="4" t="n"/>
      <c r="E8" s="4" t="n"/>
      <c r="F8" s="4" t="n"/>
      <c r="G8" s="4" t="n"/>
    </row>
    <row customHeight="true" hidden="false" ht="94.5" outlineLevel="0" r="9">
      <c r="A9" s="129" t="s">
        <v>184</v>
      </c>
      <c r="B9" s="3745" t="s"/>
      <c r="C9" s="129" t="s">
        <v>233</v>
      </c>
      <c r="D9" s="129" t="s">
        <v>186</v>
      </c>
      <c r="E9" s="129" t="s">
        <v>187</v>
      </c>
      <c r="F9" s="129" t="s">
        <v>266</v>
      </c>
    </row>
    <row customHeight="true" hidden="false" ht="15.75" outlineLevel="0" r="10">
      <c r="A10" s="32" t="s">
        <v>373</v>
      </c>
      <c r="B10" s="3748" t="s"/>
      <c r="C10" s="95" t="n">
        <f aca="false" ca="false" dt2D="false" dtr="false" t="normal">67733*1.13</f>
        <v>76538.29</v>
      </c>
      <c r="D10" s="3178" t="n">
        <f aca="false" ca="false" dt2D="false" dtr="false" t="normal">SUM(21*8*60)</f>
        <v>10080</v>
      </c>
      <c r="E10" s="3178" t="n">
        <f aca="false" ca="false" dt2D="false" dtr="false" t="normal">8*60</f>
        <v>480</v>
      </c>
      <c r="F10" s="3331" t="n">
        <f aca="false" ca="false" dt2D="false" dtr="false" t="normal">C10/D10*E10</f>
        <v>3644.6804761904755</v>
      </c>
    </row>
    <row customHeight="true" hidden="false" ht="15.75" outlineLevel="0" r="11">
      <c r="A11" s="32" t="s">
        <v>183</v>
      </c>
      <c r="B11" s="3753" t="s"/>
      <c r="C11" s="95" t="n"/>
      <c r="D11" s="3178" t="n"/>
      <c r="E11" s="3178" t="n"/>
      <c r="F11" s="3756" t="n">
        <f aca="false" ca="false" dt2D="false" dtr="false" t="normal">SUM(F10)</f>
        <v>3644.6804761904755</v>
      </c>
    </row>
    <row hidden="false" ht="15.75" outlineLevel="0" r="12">
      <c r="A12" s="188" t="n"/>
      <c r="B12" s="188" t="s"/>
      <c r="C12" s="119" t="n"/>
      <c r="D12" s="119" t="n"/>
      <c r="E12" s="119" t="s"/>
      <c r="F12" s="119" t="n"/>
      <c r="G12" s="119" t="s"/>
    </row>
    <row hidden="false" ht="15.75" outlineLevel="0" r="13">
      <c r="A13" s="4" t="n"/>
      <c r="B13" s="4" t="n"/>
      <c r="C13" s="4" t="n"/>
      <c r="D13" s="4" t="n"/>
      <c r="E13" s="4" t="n"/>
      <c r="F13" s="4" t="n"/>
      <c r="G13" s="4" t="n"/>
    </row>
    <row customHeight="true" hidden="false" ht="43.5" outlineLevel="0" r="14">
      <c r="A14" s="3711" t="s">
        <v>371</v>
      </c>
      <c r="B14" s="3738" t="s"/>
      <c r="C14" s="3739" t="s"/>
      <c r="D14" s="3740" t="s"/>
      <c r="E14" s="3741" t="s"/>
      <c r="F14" s="3742" t="s"/>
      <c r="G14" s="4" t="n"/>
    </row>
    <row customHeight="true" hidden="false" ht="31.5" outlineLevel="0" r="15">
      <c r="A15" s="383" t="n"/>
      <c r="B15" s="163" t="s">
        <v>372</v>
      </c>
      <c r="C15" s="3743" t="s"/>
      <c r="D15" s="3744" t="s"/>
      <c r="E15" s="3183" t="s">
        <v>192</v>
      </c>
      <c r="F15" s="3716" t="s">
        <v>241</v>
      </c>
      <c r="G15" s="4" t="n"/>
    </row>
    <row customHeight="true" hidden="false" ht="30.75" outlineLevel="0" r="16">
      <c r="A16" s="20" t="n">
        <v>1</v>
      </c>
      <c r="B16" s="3746" t="s">
        <v>364</v>
      </c>
      <c r="C16" s="3747" t="s"/>
      <c r="D16" s="3749" t="s"/>
      <c r="E16" s="64" t="s">
        <v>195</v>
      </c>
      <c r="F16" s="3750" t="n">
        <f aca="false" ca="false" dt2D="false" dtr="false" t="normal">F11</f>
        <v>3644.6804761904755</v>
      </c>
      <c r="G16" s="4" t="n"/>
    </row>
    <row customHeight="true" hidden="false" ht="15.75" outlineLevel="0" r="17">
      <c r="A17" s="20" t="n">
        <v>2</v>
      </c>
      <c r="B17" s="197" t="s">
        <v>368</v>
      </c>
      <c r="C17" s="3751" t="s"/>
      <c r="D17" s="3752" t="s"/>
      <c r="E17" s="64" t="s">
        <v>197</v>
      </c>
      <c r="F17" s="184" t="n">
        <f aca="false" ca="false" dt2D="false" dtr="false" t="normal">F16*25%</f>
        <v>911.1701190476189</v>
      </c>
      <c r="G17" s="4" t="n"/>
    </row>
    <row customHeight="true" hidden="false" ht="15.75" outlineLevel="0" r="18">
      <c r="A18" s="20" t="n">
        <v>3</v>
      </c>
      <c r="B18" s="213" t="s">
        <v>374</v>
      </c>
      <c r="C18" s="3754" t="s"/>
      <c r="D18" s="3755" t="s"/>
      <c r="E18" s="64" t="s">
        <v>197</v>
      </c>
      <c r="F18" s="3757" t="n">
        <f aca="false" ca="false" dt2D="false" dtr="false" t="normal">F16+F17</f>
        <v>4555.850595238095</v>
      </c>
      <c r="G18" s="4" t="n"/>
    </row>
    <row customHeight="true" hidden="false" ht="15.75" outlineLevel="0" r="19">
      <c r="A19" s="20" t="n"/>
      <c r="B19" s="213" t="s">
        <v>376</v>
      </c>
      <c r="C19" s="3760" t="s"/>
      <c r="D19" s="3761" t="s"/>
      <c r="E19" s="64" t="s">
        <v>197</v>
      </c>
      <c r="F19" s="3757" t="n">
        <f aca="false" ca="false" dt2D="false" dtr="false" t="normal">SUM(F18*0.22)</f>
        <v>1002.2871309523808</v>
      </c>
      <c r="G19" s="4" t="n"/>
    </row>
    <row customHeight="true" hidden="false" ht="15.75" outlineLevel="0" r="20">
      <c r="A20" s="163" t="n"/>
      <c r="B20" s="213" t="s">
        <v>375</v>
      </c>
      <c r="C20" s="3758" t="s"/>
      <c r="D20" s="3759" t="s"/>
      <c r="E20" s="20" t="n"/>
      <c r="F20" s="3762" t="n">
        <f aca="false" ca="false" dt2D="false" dtr="false" t="normal">SUM(F18:F19)/5-112</f>
        <v>999.6275452380951</v>
      </c>
      <c r="G20" s="4" t="n"/>
    </row>
    <row hidden="false" ht="15.75" outlineLevel="0" r="21">
      <c r="A21" s="4" t="n"/>
      <c r="B21" s="4" t="n"/>
      <c r="C21" s="4" t="n"/>
      <c r="D21" s="4" t="n"/>
      <c r="E21" s="4" t="n"/>
      <c r="F21" s="4" t="n"/>
    </row>
    <row hidden="false" ht="15.75" outlineLevel="0" r="22">
      <c r="A22" s="4" t="n"/>
      <c r="B22" s="4" t="n"/>
      <c r="C22" s="4" t="n"/>
      <c r="D22" s="4" t="n"/>
      <c r="E22" s="4" t="n"/>
      <c r="F22" s="4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4">
    <mergeCell ref="B7:F7"/>
    <mergeCell ref="A9:B9"/>
    <mergeCell ref="A10:B10"/>
    <mergeCell ref="A11:B11"/>
    <mergeCell ref="A12:B12"/>
    <mergeCell ref="D12:E12"/>
    <mergeCell ref="F12:G12"/>
    <mergeCell ref="A14:F14"/>
    <mergeCell ref="B15:D15"/>
    <mergeCell ref="B16:D16"/>
    <mergeCell ref="B17:D17"/>
    <mergeCell ref="B18:D18"/>
    <mergeCell ref="B19:D19"/>
    <mergeCell ref="B20:D20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W43"/>
  <sheetViews>
    <sheetView showZeros="true" workbookViewId="0"/>
  </sheetViews>
  <sheetFormatPr baseColWidth="8" customHeight="false" defaultColWidth="9.01358353688254" defaultRowHeight="12.75" zeroHeight="false"/>
  <cols>
    <col customWidth="true" hidden="false" max="1" min="1" outlineLevel="0" style="93" width="3.51202187927726"/>
    <col customWidth="true" hidden="false" max="2" min="2" outlineLevel="0" style="93" width="27.7607577426938"/>
    <col customWidth="true" hidden="false" max="3" min="3" outlineLevel="0" style="93" width="8.16841102374806"/>
    <col customWidth="true" hidden="false" max="4" min="4" outlineLevel="0" style="93" width="13.1010262128073"/>
    <col customWidth="true" hidden="false" max="5" min="5" outlineLevel="0" style="93" width="5.63304641057275"/>
    <col customWidth="true" hidden="true" max="6" min="6" outlineLevel="0" style="93" width="1.39099751714795"/>
    <col customWidth="true" hidden="false" max="7" min="7" outlineLevel="0" style="93" width="10.1414570993718"/>
    <col customWidth="true" hidden="false" max="8" min="8" outlineLevel="0" style="93" width="3.51202187927726"/>
    <col customWidth="true" hidden="false" max="9" min="9" outlineLevel="0" style="93" width="11.2660928211455"/>
    <col customWidth="true" hidden="false" max="12" min="10" outlineLevel="0" style="93" width="7.88231920744967"/>
    <col customWidth="true" hidden="false" max="13" min="13" outlineLevel="0" style="93" width="5.90927313182596"/>
    <col customWidth="true" hidden="false" max="14" min="14" outlineLevel="0" style="93" width="10.8418883208852"/>
    <col customWidth="true" hidden="false" max="15" min="15" outlineLevel="0" style="93" width="4.63665827771572"/>
    <col customWidth="true" hidden="false" max="16" min="16" outlineLevel="0" style="93" width="5.33708949922919"/>
    <col bestFit="true" customWidth="true" hidden="false" max="257" min="17" outlineLevel="0" style="93" width="9.01682070093331"/>
  </cols>
  <sheetData>
    <row hidden="false" ht="15.75" outlineLevel="0" r="1">
      <c r="A1" s="4" t="n"/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</row>
    <row hidden="false" ht="15.75" outlineLevel="0" r="2">
      <c r="A2" s="4" t="n"/>
      <c r="B2" s="4" t="n"/>
      <c r="C2" s="4" t="n"/>
      <c r="D2" s="4" t="n"/>
      <c r="E2" s="4" t="n"/>
      <c r="F2" s="4" t="n"/>
      <c r="G2" s="4" t="n"/>
      <c r="H2" s="101" t="s">
        <v>175</v>
      </c>
      <c r="I2" s="101" t="n"/>
      <c r="J2" s="4" t="n"/>
      <c r="K2" s="104" t="n"/>
      <c r="L2" s="104" t="n"/>
      <c r="M2" s="104" t="n"/>
      <c r="N2" s="104" t="n"/>
    </row>
    <row hidden="false" ht="15.75" outlineLevel="0" r="3">
      <c r="A3" s="4" t="n"/>
      <c r="B3" s="4" t="n"/>
      <c r="C3" s="4" t="n"/>
      <c r="D3" s="4" t="n"/>
      <c r="E3" s="4" t="n"/>
      <c r="F3" s="4" t="n"/>
      <c r="G3" s="4" t="n"/>
      <c r="H3" s="105" t="s">
        <v>176</v>
      </c>
      <c r="I3" s="4" t="n"/>
      <c r="J3" s="4" t="n"/>
      <c r="K3" s="4" t="n"/>
      <c r="L3" s="4" t="n"/>
      <c r="M3" s="4" t="n"/>
      <c r="N3" s="4" t="n"/>
    </row>
    <row hidden="false" ht="15.75" outlineLevel="0" r="4">
      <c r="A4" s="4" t="n"/>
      <c r="B4" s="4" t="n"/>
      <c r="C4" s="4" t="n"/>
      <c r="D4" s="4" t="n"/>
      <c r="E4" s="4" t="n"/>
      <c r="F4" s="4" t="n"/>
      <c r="G4" s="4" t="n"/>
      <c r="H4" s="105" t="s">
        <v>177</v>
      </c>
      <c r="I4" s="105" t="n"/>
      <c r="J4" s="4" t="n"/>
      <c r="K4" s="4" t="n"/>
      <c r="L4" s="4" t="n"/>
      <c r="M4" s="4" t="n"/>
      <c r="N4" s="4" t="n"/>
    </row>
    <row hidden="false" ht="15.75" outlineLevel="0" r="5">
      <c r="A5" s="4" t="n"/>
      <c r="B5" s="4" t="n"/>
      <c r="C5" s="4" t="n"/>
      <c r="D5" s="4" t="n"/>
      <c r="E5" s="4" t="n"/>
      <c r="F5" s="4" t="n"/>
      <c r="G5" s="4" t="n"/>
      <c r="H5" s="105" t="s">
        <v>178</v>
      </c>
      <c r="I5" s="105" t="n"/>
      <c r="J5" s="4" t="n"/>
      <c r="K5" s="4" t="n"/>
      <c r="L5" s="4" t="n"/>
      <c r="M5" s="4" t="n"/>
      <c r="N5" s="4" t="n"/>
    </row>
    <row hidden="false" ht="15.75" outlineLevel="0" r="6">
      <c r="A6" s="4" t="n"/>
      <c r="B6" s="4" t="n"/>
      <c r="C6" s="4" t="n"/>
      <c r="D6" s="4" t="n"/>
      <c r="E6" s="4" t="n"/>
      <c r="F6" s="4" t="n"/>
      <c r="G6" s="4" t="n"/>
      <c r="H6" s="105" t="n"/>
      <c r="I6" s="105" t="n"/>
      <c r="J6" s="4" t="n"/>
      <c r="K6" s="4" t="n"/>
      <c r="L6" s="4" t="n"/>
      <c r="M6" s="4" t="n"/>
      <c r="N6" s="4" t="n"/>
    </row>
    <row customHeight="true" hidden="false" ht="42" outlineLevel="0" r="7">
      <c r="A7" s="4" t="n"/>
      <c r="B7" s="115" t="s">
        <v>180</v>
      </c>
      <c r="C7" s="115" t="s"/>
      <c r="D7" s="115" t="s"/>
      <c r="E7" s="115" t="s"/>
      <c r="F7" s="115" t="s"/>
      <c r="G7" s="115" t="s"/>
      <c r="H7" s="115" t="s"/>
      <c r="I7" s="115" t="s"/>
      <c r="J7" s="115" t="s"/>
      <c r="K7" s="115" t="s"/>
      <c r="L7" s="115" t="s"/>
      <c r="M7" s="115" t="s"/>
      <c r="N7" s="115" t="s"/>
    </row>
    <row customHeight="true" hidden="false" ht="12.75" outlineLevel="0" r="8">
      <c r="A8" s="4" t="n"/>
      <c r="B8" s="4" t="n"/>
      <c r="C8" s="119" t="n"/>
      <c r="D8" s="119" t="n"/>
      <c r="E8" s="119" t="n"/>
      <c r="F8" s="119" t="n"/>
      <c r="G8" s="119" t="n"/>
      <c r="H8" s="119" t="n"/>
      <c r="I8" s="119" t="n"/>
      <c r="J8" s="119" t="n"/>
      <c r="K8" s="119" t="n"/>
      <c r="L8" s="119" t="n"/>
      <c r="M8" s="119" t="n"/>
      <c r="N8" s="119" t="n"/>
    </row>
    <row customHeight="true" hidden="false" ht="27.75" outlineLevel="0" r="9">
      <c r="A9" s="4" t="n"/>
      <c r="B9" s="101" t="s">
        <v>182</v>
      </c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</row>
    <row customHeight="true" hidden="false" ht="131.25" outlineLevel="0" r="10">
      <c r="A10" s="124" t="n"/>
      <c r="B10" s="129" t="s">
        <v>184</v>
      </c>
      <c r="C10" s="130" t="s"/>
      <c r="D10" s="129" t="s">
        <v>185</v>
      </c>
      <c r="E10" s="133" t="s"/>
      <c r="F10" s="134" t="s"/>
      <c r="G10" s="129" t="s">
        <v>186</v>
      </c>
      <c r="H10" s="135" t="s"/>
      <c r="I10" s="129" t="s">
        <v>187</v>
      </c>
      <c r="J10" s="137" t="s"/>
      <c r="K10" s="138" t="s"/>
      <c r="L10" s="129" t="s">
        <v>188</v>
      </c>
      <c r="M10" s="140" t="s"/>
      <c r="N10" s="141" t="s"/>
    </row>
    <row customFormat="true" customHeight="true" hidden="false" ht="32.25" outlineLevel="0" r="11" s="142">
      <c r="A11" s="17" t="n">
        <v>1</v>
      </c>
      <c r="B11" s="144" t="s">
        <v>189</v>
      </c>
      <c r="C11" s="145" t="s"/>
      <c r="D11" s="153" t="n">
        <f aca="false" ca="false" dt2D="false" dtr="false" t="normal">68227*1.302</f>
        <v>88831.554</v>
      </c>
      <c r="E11" s="156" t="s"/>
      <c r="F11" s="157" t="s"/>
      <c r="G11" s="159" t="n">
        <v>10080</v>
      </c>
      <c r="H11" s="160" t="s"/>
      <c r="I11" s="159" t="n">
        <v>31</v>
      </c>
      <c r="J11" s="161" t="s"/>
      <c r="K11" s="162" t="s"/>
      <c r="L11" s="164" t="n">
        <f aca="false" ca="false" dt2D="false" dtr="false" t="normal">D11/G11*I11</f>
        <v>273.19227916666665</v>
      </c>
      <c r="M11" s="167" t="s"/>
      <c r="N11" s="168" t="s"/>
    </row>
    <row customHeight="true" hidden="false" ht="15.75" outlineLevel="0" r="12">
      <c r="A12" s="124" t="n"/>
      <c r="B12" s="32" t="s">
        <v>183</v>
      </c>
      <c r="C12" s="173" t="s"/>
      <c r="D12" s="95" t="n"/>
      <c r="E12" s="174" t="s"/>
      <c r="F12" s="175" t="s"/>
      <c r="G12" s="95" t="n"/>
      <c r="H12" s="176" t="s"/>
      <c r="I12" s="95" t="n">
        <f aca="false" ca="false" dt2D="false" dtr="false" t="normal">SUM(I11)</f>
        <v>31</v>
      </c>
      <c r="J12" s="180" t="s"/>
      <c r="K12" s="183" t="s"/>
      <c r="L12" s="136" t="n">
        <f aca="false" ca="false" dt2D="false" dtr="false" t="normal">SUM(L11:N11)</f>
        <v>273.19227916666665</v>
      </c>
      <c r="M12" s="186" t="s"/>
      <c r="N12" s="187" t="s"/>
    </row>
    <row customHeight="true" hidden="false" ht="15.75" outlineLevel="0" r="13">
      <c r="A13" s="4" t="n"/>
      <c r="B13" s="188" t="n"/>
      <c r="C13" s="188" t="s"/>
      <c r="D13" s="119" t="n"/>
      <c r="E13" s="119" t="s"/>
      <c r="F13" s="119" t="s"/>
      <c r="G13" s="119" t="n"/>
      <c r="H13" s="119" t="s"/>
      <c r="I13" s="119" t="n"/>
      <c r="J13" s="119" t="s"/>
      <c r="K13" s="119" t="s"/>
      <c r="L13" s="119" t="n"/>
      <c r="M13" s="119" t="s"/>
      <c r="N13" s="119" t="s"/>
    </row>
    <row customHeight="true" hidden="false" ht="12.75" outlineLevel="0" r="14">
      <c r="A14" s="4" t="n"/>
      <c r="B14" s="195" t="s">
        <v>198</v>
      </c>
      <c r="C14" s="195" t="s"/>
      <c r="D14" s="195" t="s"/>
      <c r="E14" s="195" t="s"/>
      <c r="F14" s="195" t="s"/>
      <c r="G14" s="119" t="n"/>
      <c r="H14" s="119" t="s"/>
      <c r="I14" s="119" t="n"/>
      <c r="J14" s="119" t="s"/>
      <c r="K14" s="119" t="s"/>
      <c r="L14" s="119" t="n"/>
      <c r="M14" s="119" t="s"/>
      <c r="N14" s="119" t="s"/>
    </row>
    <row customHeight="true" hidden="false" ht="62.25" outlineLevel="0" r="15">
      <c r="A15" s="196" t="n"/>
      <c r="B15" s="129" t="s">
        <v>200</v>
      </c>
      <c r="C15" s="199" t="s"/>
      <c r="D15" s="129" t="s">
        <v>201</v>
      </c>
      <c r="E15" s="202" t="s"/>
      <c r="F15" s="204" t="s"/>
      <c r="G15" s="129" t="s">
        <v>202</v>
      </c>
      <c r="H15" s="205" t="s"/>
      <c r="I15" s="129" t="s">
        <v>203</v>
      </c>
      <c r="J15" s="206" t="s"/>
      <c r="K15" s="208" t="s"/>
      <c r="L15" s="129" t="s">
        <v>204</v>
      </c>
      <c r="M15" s="209" t="s"/>
      <c r="N15" s="210" t="s"/>
    </row>
    <row customHeight="true" hidden="false" ht="12.75" outlineLevel="0" r="16">
      <c r="A16" s="211" t="n">
        <v>1</v>
      </c>
      <c r="B16" s="32" t="s">
        <v>205</v>
      </c>
      <c r="C16" s="212" t="s"/>
      <c r="D16" s="95" t="s">
        <v>207</v>
      </c>
      <c r="E16" s="216" t="s"/>
      <c r="F16" s="218" t="s"/>
      <c r="G16" s="95" t="n">
        <v>5</v>
      </c>
      <c r="H16" s="221" t="s"/>
      <c r="I16" s="95" t="n">
        <f aca="false" ca="false" dt2D="false" dtr="false" t="normal">587/500</f>
        <v>1.174</v>
      </c>
      <c r="J16" s="223" t="s"/>
      <c r="K16" s="224" t="s"/>
      <c r="L16" s="225" t="n">
        <f aca="false" ca="false" dt2D="false" dtr="false" t="normal">SUM(I16*G16)</f>
        <v>5.869999999999999</v>
      </c>
      <c r="M16" s="226" t="s"/>
      <c r="N16" s="227" t="s"/>
      <c r="O16" s="93" t="n"/>
    </row>
    <row customHeight="true" hidden="false" ht="15.75" outlineLevel="0" r="17">
      <c r="A17" s="211" t="n">
        <v>2</v>
      </c>
      <c r="B17" s="32" t="s">
        <v>209</v>
      </c>
      <c r="C17" s="231" t="s"/>
      <c r="D17" s="95" t="s">
        <v>210</v>
      </c>
      <c r="E17" s="232" t="s"/>
      <c r="F17" s="233" t="s"/>
      <c r="G17" s="95" t="n">
        <v>0.0058</v>
      </c>
      <c r="H17" s="234" t="s"/>
      <c r="I17" s="95" t="n">
        <v>1890</v>
      </c>
      <c r="J17" s="236" t="s"/>
      <c r="K17" s="237" t="s"/>
      <c r="L17" s="225" t="n">
        <f aca="false" ca="false" dt2D="false" dtr="false" t="normal">G17*I17</f>
        <v>10.962</v>
      </c>
      <c r="M17" s="238" t="s"/>
      <c r="N17" s="239" t="s"/>
    </row>
    <row customHeight="true" hidden="false" ht="15.75" outlineLevel="0" r="18">
      <c r="A18" s="124" t="n"/>
      <c r="B18" s="32" t="s">
        <v>183</v>
      </c>
      <c r="C18" s="242" t="s"/>
      <c r="D18" s="95" t="n"/>
      <c r="E18" s="243" t="s"/>
      <c r="F18" s="244" t="s"/>
      <c r="G18" s="95" t="n"/>
      <c r="H18" s="245" t="s"/>
      <c r="I18" s="95" t="n"/>
      <c r="J18" s="247" t="s"/>
      <c r="K18" s="248" t="s"/>
      <c r="L18" s="250" t="n">
        <f aca="false" ca="false" dt2D="false" dtr="false" t="normal">SUM(L16:N17)</f>
        <v>16.832</v>
      </c>
      <c r="M18" s="251" t="s"/>
      <c r="N18" s="252" t="s"/>
    </row>
    <row hidden="false" ht="15.75" outlineLevel="0" r="19">
      <c r="A19" s="4" t="n"/>
      <c r="B19" s="119" t="n"/>
      <c r="C19" s="119" t="n"/>
      <c r="D19" s="119" t="n"/>
      <c r="E19" s="119" t="n"/>
      <c r="F19" s="119" t="n"/>
      <c r="G19" s="119" t="n"/>
      <c r="H19" s="119" t="n"/>
      <c r="I19" s="119" t="n"/>
      <c r="J19" s="119" t="n"/>
      <c r="K19" s="119" t="n"/>
      <c r="L19" s="253" t="n"/>
      <c r="M19" s="253" t="n"/>
      <c r="N19" s="253" t="n"/>
    </row>
    <row hidden="false" ht="15.75" outlineLevel="0" r="20">
      <c r="A20" s="4" t="n"/>
      <c r="B20" s="105" t="s">
        <v>212</v>
      </c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</row>
    <row customHeight="true" hidden="false" ht="107.25" outlineLevel="0" r="21">
      <c r="A21" s="124" t="n"/>
      <c r="B21" s="129" t="s">
        <v>213</v>
      </c>
      <c r="C21" s="256" t="s"/>
      <c r="D21" s="129" t="s">
        <v>214</v>
      </c>
      <c r="E21" s="257" t="s"/>
      <c r="F21" s="258" t="s"/>
      <c r="G21" s="259" t="s">
        <v>215</v>
      </c>
      <c r="H21" s="169" t="s">
        <v>216</v>
      </c>
      <c r="I21" s="260" t="s"/>
      <c r="J21" s="129" t="s">
        <v>217</v>
      </c>
      <c r="K21" s="261" t="s"/>
      <c r="L21" s="262" t="s"/>
      <c r="M21" s="129" t="s">
        <v>218</v>
      </c>
      <c r="N21" s="263" t="s"/>
    </row>
    <row customHeight="true" hidden="false" ht="15.75" outlineLevel="0" r="22">
      <c r="A22" s="17" t="n">
        <v>1</v>
      </c>
      <c r="B22" s="32" t="s">
        <v>173</v>
      </c>
      <c r="C22" s="94" t="s"/>
      <c r="D22" s="95" t="n">
        <v>67000</v>
      </c>
      <c r="E22" s="96" t="s"/>
      <c r="F22" s="97" t="s"/>
      <c r="G22" s="98" t="n">
        <v>0.3</v>
      </c>
      <c r="H22" s="99" t="s">
        <v>174</v>
      </c>
      <c r="I22" s="100" t="s"/>
      <c r="J22" s="95" t="n">
        <v>0.19</v>
      </c>
      <c r="K22" s="102" t="s"/>
      <c r="L22" s="103" t="s"/>
      <c r="M22" s="106" t="n">
        <f aca="false" ca="false" dt2D="false" dtr="false" t="normal">D22*G22/H22*J22</f>
        <v>2.386875</v>
      </c>
      <c r="N22" s="107" t="s"/>
    </row>
    <row customHeight="true" hidden="false" ht="15.75" outlineLevel="0" r="23">
      <c r="A23" s="17" t="n">
        <v>2</v>
      </c>
      <c r="B23" s="32" t="s">
        <v>179</v>
      </c>
      <c r="C23" s="108" t="s"/>
      <c r="D23" s="95" t="n">
        <v>17856</v>
      </c>
      <c r="E23" s="109" t="s"/>
      <c r="F23" s="110" t="s"/>
      <c r="G23" s="98" t="n">
        <v>0.3</v>
      </c>
      <c r="H23" s="99" t="s">
        <v>174</v>
      </c>
      <c r="I23" s="111" t="s"/>
      <c r="J23" s="95" t="n">
        <v>0.03</v>
      </c>
      <c r="K23" s="112" t="s"/>
      <c r="L23" s="113" t="s"/>
      <c r="M23" s="106" t="n">
        <f aca="false" ca="false" dt2D="false" dtr="false" t="normal">D23*G23/H23*J23</f>
        <v>0.10044</v>
      </c>
      <c r="N23" s="114" t="s"/>
    </row>
    <row customHeight="true" hidden="false" ht="15.75" outlineLevel="0" r="24">
      <c r="A24" s="17" t="n">
        <v>3</v>
      </c>
      <c r="B24" s="32" t="s">
        <v>181</v>
      </c>
      <c r="C24" s="116" t="s"/>
      <c r="D24" s="95" t="n">
        <v>500000</v>
      </c>
      <c r="E24" s="117" t="s"/>
      <c r="F24" s="118" t="s"/>
      <c r="G24" s="98" t="n">
        <v>0.3</v>
      </c>
      <c r="H24" s="99" t="s">
        <v>174</v>
      </c>
      <c r="I24" s="120" t="s"/>
      <c r="J24" s="95" t="n">
        <v>0.1</v>
      </c>
      <c r="K24" s="121" t="s"/>
      <c r="L24" s="122" t="s"/>
      <c r="M24" s="106" t="n">
        <f aca="false" ca="false" dt2D="false" dtr="false" t="normal">D24*G24/H24*J24</f>
        <v>9.375</v>
      </c>
      <c r="N24" s="123" t="s"/>
    </row>
    <row customHeight="true" hidden="false" ht="15.75" outlineLevel="0" r="25">
      <c r="A25" s="124" t="n"/>
      <c r="B25" s="32" t="s">
        <v>183</v>
      </c>
      <c r="C25" s="125" t="s"/>
      <c r="D25" s="95" t="n"/>
      <c r="E25" s="126" t="s"/>
      <c r="F25" s="127" t="s"/>
      <c r="G25" s="98" t="n"/>
      <c r="H25" s="99" t="n"/>
      <c r="I25" s="128" t="s"/>
      <c r="J25" s="95" t="n"/>
      <c r="K25" s="131" t="s"/>
      <c r="L25" s="132" t="s"/>
      <c r="M25" s="136" t="n">
        <f aca="false" ca="false" dt2D="false" dtr="false" t="normal">SUM(M22:N24)</f>
        <v>11.862314999999999</v>
      </c>
      <c r="N25" s="139" t="s"/>
    </row>
    <row hidden="false" ht="15.75" outlineLevel="0" r="26">
      <c r="A26" s="4" t="n"/>
      <c r="B26" s="4" t="n"/>
      <c r="C26" s="4" t="n"/>
      <c r="D26" s="4" t="n"/>
      <c r="E26" s="143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93" t="n"/>
      <c r="P26" s="93" t="n"/>
    </row>
    <row customHeight="true" hidden="false" ht="50.25" outlineLevel="0" r="27">
      <c r="A27" s="146" t="s">
        <v>190</v>
      </c>
      <c r="B27" s="147" t="s"/>
      <c r="C27" s="148" t="s"/>
      <c r="D27" s="149" t="s"/>
      <c r="E27" s="150" t="s"/>
      <c r="F27" s="151" t="s"/>
      <c r="G27" s="152" t="s"/>
      <c r="H27" s="154" t="s"/>
      <c r="I27" s="155" t="s"/>
      <c r="J27" s="4" t="n"/>
      <c r="K27" s="4" t="n"/>
      <c r="L27" s="158" t="n"/>
      <c r="M27" s="4" t="n"/>
      <c r="N27" s="4" t="n"/>
      <c r="O27" s="93" t="n"/>
      <c r="P27" s="93" t="n"/>
    </row>
    <row customHeight="true" hidden="false" ht="94.5" outlineLevel="0" r="28">
      <c r="A28" s="163" t="n"/>
      <c r="B28" s="67" t="s">
        <v>191</v>
      </c>
      <c r="C28" s="165" t="s"/>
      <c r="D28" s="166" t="s"/>
      <c r="E28" s="169" t="s">
        <v>192</v>
      </c>
      <c r="F28" s="170" t="s"/>
      <c r="G28" s="171" t="s"/>
      <c r="H28" s="20" t="s">
        <v>193</v>
      </c>
      <c r="I28" s="172" t="s"/>
      <c r="J28" s="4" t="n"/>
      <c r="K28" s="4" t="n"/>
      <c r="L28" s="4" t="n"/>
      <c r="M28" s="4" t="n"/>
      <c r="N28" s="4" t="n"/>
      <c r="O28" s="93" t="n"/>
      <c r="P28" s="93" t="n"/>
      <c r="Q28" s="93" t="n"/>
      <c r="R28" s="93" t="n"/>
    </row>
    <row customHeight="true" hidden="false" ht="43.5" outlineLevel="0" r="29">
      <c r="A29" s="20" t="n">
        <v>1</v>
      </c>
      <c r="B29" s="177" t="s">
        <v>194</v>
      </c>
      <c r="C29" s="178" t="s"/>
      <c r="D29" s="179" t="s"/>
      <c r="E29" s="15" t="s">
        <v>195</v>
      </c>
      <c r="F29" s="181" t="s"/>
      <c r="G29" s="182" t="s"/>
      <c r="H29" s="184" t="n">
        <f aca="false" ca="false" dt2D="false" dtr="false" t="normal">SUM(L12)</f>
        <v>273.19227916666665</v>
      </c>
      <c r="I29" s="185" t="s"/>
      <c r="J29" s="4" t="n"/>
      <c r="K29" s="4" t="n"/>
      <c r="L29" s="4" t="n"/>
      <c r="M29" s="4" t="n"/>
      <c r="N29" s="4" t="n"/>
      <c r="O29" s="93" t="n"/>
      <c r="P29" s="93" t="n"/>
      <c r="Q29" s="93" t="n"/>
      <c r="R29" s="93" t="n"/>
    </row>
    <row customHeight="true" hidden="false" ht="15.75" outlineLevel="0" r="30">
      <c r="A30" s="20" t="n">
        <v>2</v>
      </c>
      <c r="B30" s="189" t="s">
        <v>196</v>
      </c>
      <c r="C30" s="190" t="s"/>
      <c r="D30" s="191" t="s"/>
      <c r="E30" s="15" t="s">
        <v>197</v>
      </c>
      <c r="F30" s="192" t="s"/>
      <c r="G30" s="193" t="s"/>
      <c r="H30" s="184" t="n">
        <f aca="false" ca="false" dt2D="false" dtr="false" t="normal">SUM(L18)</f>
        <v>16.832</v>
      </c>
      <c r="I30" s="194" t="s"/>
      <c r="J30" s="4" t="n"/>
      <c r="K30" s="4" t="n"/>
      <c r="L30" s="4" t="n"/>
      <c r="M30" s="4" t="n"/>
      <c r="N30" s="4" t="n"/>
      <c r="O30" s="93" t="n"/>
      <c r="P30" s="93" t="n"/>
      <c r="Q30" s="93" t="n"/>
      <c r="R30" s="93" t="n"/>
    </row>
    <row customHeight="true" hidden="false" ht="16.5" outlineLevel="0" r="31">
      <c r="A31" s="20" t="n">
        <v>3</v>
      </c>
      <c r="B31" s="197" t="s">
        <v>199</v>
      </c>
      <c r="C31" s="198" t="s"/>
      <c r="D31" s="200" t="s"/>
      <c r="E31" s="15" t="s">
        <v>197</v>
      </c>
      <c r="F31" s="201" t="s"/>
      <c r="G31" s="203" t="s"/>
      <c r="H31" s="184" t="n">
        <f aca="false" ca="false" dt2D="false" dtr="false" t="normal">SUM(M25)</f>
        <v>11.862314999999999</v>
      </c>
      <c r="I31" s="207" t="s"/>
      <c r="J31" s="4" t="n"/>
      <c r="K31" s="4" t="n"/>
      <c r="L31" s="4" t="n"/>
      <c r="M31" s="4" t="n"/>
      <c r="N31" s="4" t="n"/>
      <c r="O31" s="93" t="n"/>
      <c r="P31" s="93" t="n"/>
      <c r="Q31" s="93" t="n"/>
      <c r="R31" s="93" t="n"/>
    </row>
    <row customHeight="true" hidden="false" ht="15.75" outlineLevel="0" r="32">
      <c r="A32" s="163" t="n">
        <v>4</v>
      </c>
      <c r="B32" s="213" t="s">
        <v>206</v>
      </c>
      <c r="C32" s="214" t="s"/>
      <c r="D32" s="215" t="s"/>
      <c r="E32" s="217" t="n"/>
      <c r="F32" s="219" t="s"/>
      <c r="G32" s="220" t="s"/>
      <c r="H32" s="184" t="n">
        <f aca="false" ca="false" dt2D="false" dtr="false" t="normal">SUM(H29:I31)</f>
        <v>301.88659416666667</v>
      </c>
      <c r="I32" s="222" t="s"/>
      <c r="J32" s="4" t="n"/>
      <c r="K32" s="4" t="n"/>
      <c r="L32" s="4" t="n"/>
      <c r="M32" s="4" t="n"/>
      <c r="N32" s="4" t="n"/>
      <c r="O32" s="93" t="n"/>
      <c r="P32" s="93" t="n"/>
      <c r="Q32" s="93" t="n"/>
      <c r="R32" s="93" t="n"/>
    </row>
    <row hidden="false" ht="15.75" outlineLevel="0" r="33">
      <c r="A33" s="163" t="n">
        <v>5</v>
      </c>
      <c r="B33" s="228" t="s">
        <v>208</v>
      </c>
      <c r="C33" s="229" t="n"/>
      <c r="D33" s="229" t="n"/>
      <c r="E33" s="230" t="n"/>
      <c r="F33" s="230" t="n"/>
      <c r="G33" s="230" t="n"/>
      <c r="H33" s="184" t="n">
        <f aca="false" ca="false" dt2D="false" dtr="false" t="normal">SUM(H32*0.22)</f>
        <v>66.41505071666667</v>
      </c>
      <c r="I33" s="235" t="s"/>
      <c r="J33" s="4" t="n"/>
      <c r="K33" s="4" t="n"/>
      <c r="L33" s="4" t="n"/>
      <c r="M33" s="4" t="n"/>
      <c r="N33" s="4" t="n"/>
      <c r="O33" s="93" t="n"/>
      <c r="P33" s="93" t="n"/>
      <c r="Q33" s="93" t="n"/>
      <c r="R33" s="93" t="n"/>
    </row>
    <row customHeight="true" hidden="false" ht="15.75" outlineLevel="0" r="34">
      <c r="A34" s="124" t="n"/>
      <c r="B34" s="240" t="s">
        <v>211</v>
      </c>
      <c r="C34" s="241" t="n"/>
      <c r="D34" s="241" t="n"/>
      <c r="E34" s="241" t="n"/>
      <c r="F34" s="241" t="n"/>
      <c r="G34" s="241" t="n"/>
      <c r="H34" s="246" t="n">
        <f aca="false" ca="false" dt2D="false" dtr="false" t="normal">SUM(H32+H33)-8</f>
        <v>360.3016448833333</v>
      </c>
      <c r="I34" s="249" t="s"/>
      <c r="J34" s="4" t="n"/>
      <c r="K34" s="4" t="n"/>
      <c r="L34" s="4" t="n"/>
      <c r="M34" s="4" t="n"/>
      <c r="N34" s="4" t="n"/>
      <c r="O34" s="93" t="n"/>
    </row>
    <row hidden="false" ht="15.75" outlineLevel="0" r="35">
      <c r="A35" s="4" t="n"/>
      <c r="B35" s="4" t="n"/>
      <c r="C35" s="4" t="n"/>
      <c r="D35" s="4" t="n"/>
      <c r="E35" s="143" t="n"/>
      <c r="F35" s="105" t="n"/>
      <c r="G35" s="143" t="n"/>
      <c r="H35" s="4" t="n"/>
      <c r="I35" s="4" t="n"/>
      <c r="J35" s="4" t="n"/>
      <c r="K35" s="4" t="n"/>
      <c r="L35" s="4" t="n"/>
      <c r="M35" s="4" t="n"/>
      <c r="N35" s="4" t="n"/>
      <c r="O35" s="93" t="n"/>
      <c r="P35" s="93" t="n"/>
    </row>
    <row customFormat="true" hidden="false" ht="15.75" outlineLevel="0" r="36" s="93">
      <c r="A36" s="119" t="n"/>
      <c r="B36" s="119" t="n"/>
      <c r="C36" s="119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</row>
    <row customFormat="true" hidden="false" ht="16.5" outlineLevel="0" r="37" s="93">
      <c r="A37" s="254" t="n"/>
      <c r="B37" s="255" t="n"/>
      <c r="C37" s="254" t="n"/>
    </row>
    <row customFormat="true" hidden="false" ht="16.5" outlineLevel="0" r="38" s="93">
      <c r="A38" s="254" t="n"/>
      <c r="B38" s="255" t="n"/>
      <c r="C38" s="254" t="n"/>
    </row>
    <row customFormat="true" hidden="false" ht="16.5" outlineLevel="0" r="39" s="93">
      <c r="A39" s="254" t="n"/>
      <c r="B39" s="255" t="n"/>
      <c r="C39" s="254" t="n"/>
    </row>
    <row customFormat="true" hidden="false" ht="16.5" outlineLevel="0" r="40" s="93">
      <c r="A40" s="254" t="n"/>
      <c r="B40" s="255" t="n"/>
      <c r="C40" s="254" t="n"/>
    </row>
    <row customFormat="true" hidden="false" ht="16.5" outlineLevel="0" r="41" s="93">
      <c r="A41" s="254" t="n"/>
      <c r="B41" s="255" t="n"/>
      <c r="C41" s="254" t="n"/>
    </row>
    <row customFormat="true" hidden="false" ht="16.5" outlineLevel="0" r="42" s="93">
      <c r="A42" s="254" t="n"/>
      <c r="B42" s="255" t="n"/>
      <c r="C42" s="254" t="n"/>
    </row>
    <row customFormat="true" hidden="false" ht="12.75" outlineLevel="0" r="43" s="93"/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88">
    <mergeCell ref="B7:N7"/>
    <mergeCell ref="B10:C10"/>
    <mergeCell ref="D10:F10"/>
    <mergeCell ref="I10:K10"/>
    <mergeCell ref="G10:H10"/>
    <mergeCell ref="B11:C11"/>
    <mergeCell ref="D11:F11"/>
    <mergeCell ref="B12:C12"/>
    <mergeCell ref="D12:F12"/>
    <mergeCell ref="G11:H11"/>
    <mergeCell ref="I11:K11"/>
    <mergeCell ref="G12:H12"/>
    <mergeCell ref="I12:K12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B13:C13"/>
    <mergeCell ref="D13:F13"/>
    <mergeCell ref="B14:F14"/>
    <mergeCell ref="B15:C15"/>
    <mergeCell ref="D15:F15"/>
    <mergeCell ref="G13:H13"/>
    <mergeCell ref="G14:H14"/>
    <mergeCell ref="I13:K13"/>
    <mergeCell ref="I14:K14"/>
    <mergeCell ref="G15:H15"/>
    <mergeCell ref="I15:K15"/>
    <mergeCell ref="I16:K16"/>
    <mergeCell ref="I17:K17"/>
    <mergeCell ref="I18:K18"/>
    <mergeCell ref="G16:H16"/>
    <mergeCell ref="G17:H17"/>
    <mergeCell ref="G18:H18"/>
    <mergeCell ref="D16:F16"/>
    <mergeCell ref="B16:C16"/>
    <mergeCell ref="D17:F17"/>
    <mergeCell ref="B17:C17"/>
    <mergeCell ref="B18:C18"/>
    <mergeCell ref="D18:F18"/>
    <mergeCell ref="B21:C21"/>
    <mergeCell ref="B22:C22"/>
    <mergeCell ref="D21:F21"/>
    <mergeCell ref="H21:I21"/>
    <mergeCell ref="D22:F22"/>
    <mergeCell ref="H22:I22"/>
    <mergeCell ref="B23:C23"/>
    <mergeCell ref="D23:F23"/>
    <mergeCell ref="H23:I23"/>
    <mergeCell ref="H24:I24"/>
    <mergeCell ref="D24:F24"/>
    <mergeCell ref="B24:C24"/>
    <mergeCell ref="D25:F25"/>
    <mergeCell ref="J24:L24"/>
    <mergeCell ref="J23:L23"/>
    <mergeCell ref="J22:L22"/>
    <mergeCell ref="J21:L21"/>
    <mergeCell ref="M24:N24"/>
    <mergeCell ref="M23:N23"/>
    <mergeCell ref="M22:N22"/>
    <mergeCell ref="M21:N21"/>
    <mergeCell ref="J25:L25"/>
    <mergeCell ref="M25:N25"/>
    <mergeCell ref="H25:I25"/>
    <mergeCell ref="B25:C25"/>
    <mergeCell ref="A27:I27"/>
    <mergeCell ref="H28:I28"/>
    <mergeCell ref="B32:D32"/>
    <mergeCell ref="B31:D31"/>
    <mergeCell ref="B30:D30"/>
    <mergeCell ref="B29:D29"/>
    <mergeCell ref="E32:G32"/>
    <mergeCell ref="E31:G31"/>
    <mergeCell ref="E30:G30"/>
    <mergeCell ref="H31:I31"/>
    <mergeCell ref="H30:I30"/>
    <mergeCell ref="H29:I29"/>
    <mergeCell ref="E29:G29"/>
    <mergeCell ref="E28:G28"/>
    <mergeCell ref="B28:D28"/>
    <mergeCell ref="H32:I32"/>
    <mergeCell ref="H33:I33"/>
    <mergeCell ref="H34:I34"/>
  </mergeCells>
  <pageMargins bottom="0.984027743339539" footer="0.511811017990112" header="0.511811017990112" left="0.747916638851166" right="0.393750011920929" top="0.984027743339539"/>
  <pageSetup fitToHeight="1" fitToWidth="1" orientation="portrait" paperHeight="297mm" paperSize="9" paperWidth="210mm" scale="100"/>
</worksheet>
</file>

<file path=xl/worksheets/sheet20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L30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" min="1" outlineLevel="0" style="398" width="4.08420551187403"/>
    <col customWidth="true" hidden="false" max="2" min="2" outlineLevel="0" style="398" width="29.0136430833785"/>
    <col customWidth="true" hidden="false" max="3" min="3" outlineLevel="0" style="398" width="16.474934731458"/>
    <col customWidth="true" hidden="false" max="4" min="4" outlineLevel="0" style="398" width="17.0471183640548"/>
    <col customWidth="true" hidden="false" max="5" min="5" outlineLevel="0" style="398" width="13.5153656180224"/>
    <col customWidth="true" hidden="false" max="6" min="6" outlineLevel="0" style="398" width="17.4614577692698"/>
    <col customWidth="true" hidden="false" max="7" min="7" outlineLevel="0" style="398" width="12.5288425802106"/>
    <col customWidth="true" hidden="false" max="8" min="8" outlineLevel="0" style="398" width="21.4075499205173"/>
    <col customWidth="true" hidden="false" max="9" min="9" outlineLevel="0" style="398" width="15.6363901493179"/>
  </cols>
  <sheetData>
    <row hidden="false" ht="15.75" outlineLevel="0" r="2">
      <c r="A2" s="1533" t="n"/>
      <c r="B2" s="1533" t="n"/>
      <c r="D2" s="101" t="s">
        <v>175</v>
      </c>
    </row>
    <row hidden="false" ht="15.75" outlineLevel="0" r="3">
      <c r="A3" s="1533" t="n"/>
      <c r="B3" s="1533" t="n"/>
      <c r="D3" s="105" t="s">
        <v>176</v>
      </c>
    </row>
    <row hidden="false" ht="15.75" outlineLevel="0" r="4">
      <c r="A4" s="1533" t="n"/>
      <c r="B4" s="1533" t="n"/>
      <c r="D4" s="101" t="s">
        <v>226</v>
      </c>
    </row>
    <row hidden="false" ht="15.75" outlineLevel="0" r="5">
      <c r="A5" s="1533" t="n"/>
      <c r="B5" s="1533" t="n"/>
      <c r="D5" s="105" t="s">
        <v>178</v>
      </c>
    </row>
    <row hidden="false" ht="12.75" outlineLevel="0" r="6">
      <c r="A6" s="93" t="n"/>
      <c r="B6" s="93" t="n"/>
      <c r="C6" s="93" t="n"/>
    </row>
    <row customHeight="true" hidden="false" ht="51" outlineLevel="0" r="7">
      <c r="A7" s="403" t="s">
        <v>378</v>
      </c>
      <c r="B7" s="403" t="s"/>
      <c r="C7" s="403" t="s"/>
      <c r="D7" s="403" t="s"/>
      <c r="E7" s="403" t="s"/>
      <c r="F7" s="403" t="s"/>
      <c r="G7" s="4" t="n"/>
    </row>
    <row customHeight="true" hidden="false" ht="28.5" outlineLevel="0" r="8">
      <c r="A8" s="4" t="n"/>
      <c r="B8" s="3763" t="s">
        <v>379</v>
      </c>
      <c r="C8" s="3763" t="s"/>
      <c r="D8" s="3763" t="s"/>
      <c r="E8" s="3763" t="s"/>
      <c r="F8" s="3763" t="s"/>
      <c r="G8" s="4" t="n"/>
      <c r="H8" s="4" t="n"/>
      <c r="I8" s="4" t="n"/>
      <c r="J8" s="4" t="n"/>
      <c r="K8" s="4" t="n"/>
      <c r="L8" s="4" t="n"/>
    </row>
    <row hidden="false" ht="47.25" outlineLevel="0" r="9">
      <c r="A9" s="20" t="s">
        <v>239</v>
      </c>
      <c r="B9" s="129" t="s">
        <v>380</v>
      </c>
      <c r="C9" s="129" t="s">
        <v>381</v>
      </c>
      <c r="D9" s="129" t="s">
        <v>382</v>
      </c>
      <c r="E9" s="129" t="s">
        <v>383</v>
      </c>
      <c r="F9" s="129" t="s">
        <v>384</v>
      </c>
      <c r="G9" s="4" t="n"/>
      <c r="H9" s="4" t="n"/>
      <c r="I9" s="4" t="n"/>
      <c r="J9" s="4" t="n"/>
      <c r="K9" s="4" t="n"/>
      <c r="L9" s="4" t="n"/>
    </row>
    <row hidden="false" ht="15.75" outlineLevel="0" r="10">
      <c r="A10" s="211" t="n">
        <v>1</v>
      </c>
      <c r="B10" s="124" t="s">
        <v>385</v>
      </c>
      <c r="C10" s="17" t="n">
        <v>1500</v>
      </c>
      <c r="D10" s="124" t="n"/>
      <c r="E10" s="3765" t="n">
        <v>0.1</v>
      </c>
      <c r="F10" s="124" t="n">
        <f aca="false" ca="false" dt2D="false" dtr="false" t="normal">C10*E10</f>
        <v>150</v>
      </c>
      <c r="G10" s="4" t="n"/>
      <c r="H10" s="4" t="n"/>
      <c r="I10" s="4" t="n"/>
      <c r="J10" s="4" t="n"/>
      <c r="K10" s="4" t="n"/>
      <c r="L10" s="4" t="n"/>
    </row>
    <row hidden="false" ht="15.75" outlineLevel="0" r="11">
      <c r="A11" s="3724" t="n">
        <v>2</v>
      </c>
      <c r="B11" s="124" t="s">
        <v>387</v>
      </c>
      <c r="C11" s="17" t="n">
        <v>350</v>
      </c>
      <c r="D11" s="124" t="n"/>
      <c r="E11" s="3767" t="s"/>
      <c r="F11" s="124" t="n">
        <f aca="false" ca="false" dt2D="false" dtr="false" t="normal">C11*E10</f>
        <v>35</v>
      </c>
      <c r="G11" s="4" t="n"/>
      <c r="H11" s="4" t="n"/>
      <c r="I11" s="4" t="n"/>
      <c r="J11" s="4" t="n"/>
      <c r="K11" s="4" t="n"/>
      <c r="L11" s="4" t="n"/>
    </row>
    <row hidden="false" ht="15.75" outlineLevel="0" r="12">
      <c r="A12" s="3724" t="n">
        <v>3</v>
      </c>
      <c r="B12" s="124" t="s">
        <v>388</v>
      </c>
      <c r="C12" s="17" t="n">
        <v>205</v>
      </c>
      <c r="D12" s="124" t="n"/>
      <c r="E12" s="3769" t="s"/>
      <c r="F12" s="124" t="n">
        <f aca="false" ca="false" dt2D="false" dtr="false" t="normal">C12*E10</f>
        <v>20.5</v>
      </c>
      <c r="G12" s="4" t="n"/>
      <c r="H12" s="4" t="n"/>
      <c r="I12" s="4" t="n"/>
      <c r="J12" s="4" t="n"/>
      <c r="K12" s="4" t="n"/>
      <c r="L12" s="4" t="n"/>
    </row>
    <row hidden="false" ht="15.75" outlineLevel="0" r="13">
      <c r="A13" s="211" t="n">
        <v>4</v>
      </c>
      <c r="B13" s="124" t="s">
        <v>389</v>
      </c>
      <c r="C13" s="17" t="n">
        <v>600</v>
      </c>
      <c r="D13" s="124" t="n"/>
      <c r="E13" s="3772" t="s"/>
      <c r="F13" s="124" t="n">
        <f aca="false" ca="false" dt2D="false" dtr="false" t="normal">C13*E10</f>
        <v>60</v>
      </c>
      <c r="G13" s="4" t="n"/>
      <c r="H13" s="4" t="n"/>
      <c r="I13" s="4" t="n"/>
      <c r="J13" s="4" t="n"/>
      <c r="K13" s="4" t="n"/>
      <c r="L13" s="4" t="n"/>
    </row>
    <row hidden="false" ht="15.75" outlineLevel="0" r="14">
      <c r="A14" s="3724" t="n">
        <v>5</v>
      </c>
      <c r="B14" s="124" t="s">
        <v>390</v>
      </c>
      <c r="C14" s="17" t="n">
        <v>4000</v>
      </c>
      <c r="D14" s="124" t="n">
        <f aca="false" ca="false" dt2D="false" dtr="false" t="normal">C14*20%</f>
        <v>800</v>
      </c>
      <c r="E14" s="3777" t="s"/>
      <c r="F14" s="124" t="n">
        <f aca="false" ca="false" dt2D="false" dtr="false" t="normal">D14*E10</f>
        <v>80</v>
      </c>
      <c r="G14" s="4" t="n"/>
      <c r="H14" s="4" t="n"/>
      <c r="I14" s="4" t="n"/>
      <c r="J14" s="4" t="n"/>
      <c r="K14" s="4" t="n"/>
      <c r="L14" s="4" t="n"/>
    </row>
    <row hidden="false" ht="15.75" outlineLevel="0" r="15">
      <c r="A15" s="3724" t="n">
        <v>6</v>
      </c>
      <c r="B15" s="124" t="s">
        <v>392</v>
      </c>
      <c r="C15" s="17" t="n">
        <v>65000</v>
      </c>
      <c r="D15" s="124" t="n">
        <f aca="false" ca="false" dt2D="false" dtr="false" t="normal">C15*6.6%</f>
        <v>4290</v>
      </c>
      <c r="E15" s="3778" t="s"/>
      <c r="F15" s="124" t="n">
        <f aca="false" ca="false" dt2D="false" dtr="false" t="normal">D15*E10</f>
        <v>429</v>
      </c>
      <c r="G15" s="4" t="n"/>
      <c r="H15" s="4" t="n"/>
      <c r="I15" s="4" t="n"/>
      <c r="J15" s="4" t="n"/>
      <c r="K15" s="4" t="n"/>
      <c r="L15" s="4" t="n"/>
    </row>
    <row hidden="false" ht="15.75" outlineLevel="0" r="16">
      <c r="A16" s="211" t="n">
        <v>7</v>
      </c>
      <c r="B16" s="124" t="s">
        <v>377</v>
      </c>
      <c r="C16" s="17" t="n">
        <v>2500</v>
      </c>
      <c r="D16" s="124" t="n">
        <f aca="false" ca="false" dt2D="false" dtr="false" t="normal">C16*20%</f>
        <v>500</v>
      </c>
      <c r="E16" s="3764" t="s"/>
      <c r="F16" s="124" t="n">
        <f aca="false" ca="false" dt2D="false" dtr="false" t="normal">D16*E10</f>
        <v>50</v>
      </c>
      <c r="G16" s="4" t="n"/>
      <c r="H16" s="4" t="n"/>
      <c r="I16" s="4" t="n"/>
      <c r="J16" s="4" t="n"/>
      <c r="K16" s="4" t="n"/>
      <c r="L16" s="4" t="n"/>
    </row>
    <row hidden="false" ht="15.75" outlineLevel="0" r="17">
      <c r="A17" s="3724" t="n">
        <v>8</v>
      </c>
      <c r="B17" s="124" t="s">
        <v>386</v>
      </c>
      <c r="C17" s="17" t="n">
        <v>110000</v>
      </c>
      <c r="D17" s="124" t="n">
        <f aca="false" ca="false" dt2D="false" dtr="false" t="normal">C17*5%</f>
        <v>5500</v>
      </c>
      <c r="E17" s="3766" t="s"/>
      <c r="F17" s="124" t="n">
        <f aca="false" ca="false" dt2D="false" dtr="false" t="normal">D17*E10</f>
        <v>550</v>
      </c>
      <c r="G17" s="4" t="n"/>
      <c r="H17" s="4" t="n"/>
      <c r="I17" s="4" t="n"/>
      <c r="J17" s="4" t="n"/>
      <c r="K17" s="4" t="n"/>
      <c r="L17" s="4" t="n"/>
    </row>
    <row hidden="false" ht="15.75" outlineLevel="0" r="18">
      <c r="A18" s="3768" t="n"/>
      <c r="B18" s="32" t="s">
        <v>183</v>
      </c>
      <c r="C18" s="124" t="n"/>
      <c r="D18" s="124" t="n"/>
      <c r="E18" s="124" t="n"/>
      <c r="F18" s="3770" t="n">
        <f aca="false" ca="false" dt2D="false" dtr="false" t="normal">SUM(F10:F17)</f>
        <v>1374.5</v>
      </c>
      <c r="G18" s="4" t="n"/>
      <c r="H18" s="4" t="n"/>
      <c r="I18" s="4" t="n"/>
      <c r="J18" s="4" t="n"/>
      <c r="K18" s="4" t="n"/>
      <c r="L18" s="4" t="n"/>
    </row>
    <row hidden="false" ht="15.75" outlineLevel="0" r="19">
      <c r="A19" s="1764" t="n"/>
      <c r="B19" s="188" t="n"/>
      <c r="C19" s="4" t="n"/>
      <c r="D19" s="4" t="n"/>
      <c r="E19" s="4" t="n"/>
      <c r="F19" s="3771" t="n"/>
      <c r="G19" s="4" t="n"/>
      <c r="H19" s="4" t="n"/>
      <c r="I19" s="4" t="n"/>
      <c r="J19" s="4" t="n"/>
      <c r="K19" s="4" t="n"/>
      <c r="L19" s="4" t="n"/>
    </row>
    <row customHeight="true" hidden="false" ht="15.75" outlineLevel="0" r="20">
      <c r="A20" s="4" t="n"/>
      <c r="B20" s="444" t="s">
        <v>232</v>
      </c>
      <c r="C20" s="3773" t="s"/>
      <c r="D20" s="3774" t="s"/>
      <c r="E20" s="3775" t="s"/>
      <c r="F20" s="3776" t="s"/>
      <c r="G20" s="4" t="n"/>
      <c r="H20" s="4" t="n"/>
      <c r="I20" s="4" t="n"/>
      <c r="J20" s="4" t="n"/>
      <c r="K20" s="4" t="n"/>
      <c r="L20" s="4" t="n"/>
    </row>
    <row hidden="false" ht="126" outlineLevel="0" r="21">
      <c r="A21" s="20" t="s">
        <v>239</v>
      </c>
      <c r="B21" s="129" t="s">
        <v>184</v>
      </c>
      <c r="C21" s="129" t="s">
        <v>233</v>
      </c>
      <c r="D21" s="129" t="s">
        <v>186</v>
      </c>
      <c r="E21" s="129" t="s">
        <v>187</v>
      </c>
      <c r="F21" s="129" t="s">
        <v>266</v>
      </c>
      <c r="G21" s="4" t="n"/>
      <c r="H21" s="4" t="n"/>
      <c r="I21" s="4" t="n"/>
      <c r="J21" s="4" t="n"/>
      <c r="K21" s="4" t="n"/>
      <c r="L21" s="4" t="n"/>
    </row>
    <row hidden="false" ht="15.75" outlineLevel="0" r="22">
      <c r="A22" s="211" t="n">
        <v>1</v>
      </c>
      <c r="B22" s="32" t="s">
        <v>391</v>
      </c>
      <c r="C22" s="95" t="n">
        <f aca="false" ca="false" dt2D="false" dtr="false" t="normal">67733*1.13</f>
        <v>76538.29</v>
      </c>
      <c r="D22" s="95" t="n">
        <v>10080</v>
      </c>
      <c r="E22" s="95" t="n">
        <v>60</v>
      </c>
      <c r="F22" s="106" t="n">
        <f aca="false" ca="false" dt2D="false" dtr="false" t="normal">C22/D22*E22</f>
        <v>455.58505952380943</v>
      </c>
    </row>
    <row hidden="false" ht="15.75" outlineLevel="0" r="23">
      <c r="A23" s="383" t="n"/>
      <c r="B23" s="32" t="s">
        <v>183</v>
      </c>
      <c r="C23" s="95" t="n"/>
      <c r="D23" s="95" t="n"/>
      <c r="E23" s="95" t="n"/>
      <c r="F23" s="136" t="n">
        <f aca="false" ca="false" dt2D="false" dtr="false" t="normal">SUM(F22)</f>
        <v>455.58505952380943</v>
      </c>
    </row>
    <row customHeight="true" hidden="false" ht="31.5" outlineLevel="0" r="26">
      <c r="A26" s="124" t="s">
        <v>239</v>
      </c>
      <c r="B26" s="169" t="s">
        <v>191</v>
      </c>
      <c r="C26" s="3781" t="s"/>
      <c r="D26" s="3630" t="s">
        <v>192</v>
      </c>
      <c r="E26" s="3716" t="s">
        <v>261</v>
      </c>
    </row>
    <row customHeight="true" hidden="false" ht="60" outlineLevel="0" r="27">
      <c r="A27" s="20" t="n">
        <v>1</v>
      </c>
      <c r="B27" s="177" t="s">
        <v>393</v>
      </c>
      <c r="C27" s="3779" t="s"/>
      <c r="D27" s="3780" t="s">
        <v>394</v>
      </c>
      <c r="E27" s="434" t="n">
        <f aca="false" ca="false" dt2D="false" dtr="false" t="normal">F23</f>
        <v>455.58505952380943</v>
      </c>
    </row>
    <row customHeight="true" hidden="false" ht="37.5" outlineLevel="0" r="28">
      <c r="A28" s="20" t="n">
        <v>2</v>
      </c>
      <c r="B28" s="177" t="s">
        <v>379</v>
      </c>
      <c r="C28" s="3784" t="s"/>
      <c r="D28" s="3785" t="s">
        <v>197</v>
      </c>
      <c r="E28" s="434" t="n">
        <f aca="false" ca="false" dt2D="false" dtr="false" t="normal">SUM(F18)</f>
        <v>1374.5</v>
      </c>
    </row>
    <row customHeight="true" hidden="false" ht="47.25" outlineLevel="0" r="29">
      <c r="A29" s="20" t="n"/>
      <c r="B29" s="3782" t="s">
        <v>395</v>
      </c>
      <c r="C29" s="3783" t="s"/>
      <c r="D29" s="24" t="n"/>
      <c r="E29" s="3757" t="n">
        <f aca="false" ca="false" dt2D="false" dtr="false" t="normal">SUM(E27:E28)-30</f>
        <v>1800.0850595238094</v>
      </c>
    </row>
    <row hidden="false" ht="15.75" outlineLevel="0" r="30">
      <c r="A30" s="4" t="n"/>
      <c r="B30" s="143" t="n"/>
      <c r="C30" s="2815" t="n"/>
      <c r="D30" s="158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8">
    <mergeCell ref="A7:F7"/>
    <mergeCell ref="B8:F8"/>
    <mergeCell ref="E10:E17"/>
    <mergeCell ref="B20:F20"/>
    <mergeCell ref="B26:C26"/>
    <mergeCell ref="B27:C27"/>
    <mergeCell ref="B28:C28"/>
    <mergeCell ref="B29:C29"/>
  </mergeCells>
  <pageMargins bottom="0.747916638851166" footer="0.511811017990112" header="0.511811017990112" left="0.708333313465118" right="0.708333313465118" top="0.747916638851166"/>
  <pageSetup fitToHeight="1" fitToWidth="1" orientation="portrait" paperHeight="297mm" paperSize="9" paperWidth="210mm" scale="100"/>
</worksheet>
</file>

<file path=xl/worksheets/sheet2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N55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3" min="3" outlineLevel="0" style="398" width="10.8418883208852"/>
    <col customWidth="true" hidden="false" max="11" min="11" outlineLevel="0" style="398" width="13.5153656180224"/>
    <col customWidth="true" hidden="false" max="12" min="12" outlineLevel="0" style="398" width="6.19536494812434"/>
    <col customWidth="true" hidden="false" max="13" min="13" outlineLevel="0" style="398" width="14.5018886558343"/>
    <col customWidth="true" hidden="false" max="14" min="14" outlineLevel="0" style="398" width="10.8418883208852"/>
  </cols>
  <sheetData>
    <row hidden="false" ht="15" outlineLevel="0" r="1">
      <c r="A1" s="93" t="n"/>
      <c r="B1" s="1524" t="n"/>
      <c r="C1" s="1524" t="s"/>
      <c r="D1" s="1524" t="s"/>
      <c r="E1" s="1524" t="s"/>
      <c r="F1" s="1524" t="s"/>
      <c r="G1" s="1524" t="s"/>
      <c r="H1" s="1524" t="s"/>
      <c r="I1" s="1524" t="s"/>
      <c r="J1" s="1524" t="s"/>
      <c r="K1" s="1524" t="s"/>
      <c r="L1" s="1524" t="s"/>
      <c r="M1" s="1524" t="s"/>
      <c r="N1" s="1524" t="s"/>
    </row>
    <row hidden="false" ht="15.75" outlineLevel="0" r="2">
      <c r="A2" s="93" t="n"/>
      <c r="B2" s="1524" t="n"/>
      <c r="C2" s="1524" t="n"/>
      <c r="D2" s="1524" t="n"/>
      <c r="E2" s="1524" t="n"/>
      <c r="F2" s="1524" t="n"/>
      <c r="G2" s="93" t="n"/>
      <c r="H2" s="1524" t="n"/>
      <c r="I2" s="101" t="s">
        <v>175</v>
      </c>
      <c r="J2" s="1524" t="n"/>
      <c r="K2" s="1524" t="n"/>
      <c r="L2" s="1524" t="n"/>
      <c r="M2" s="1524" t="n"/>
      <c r="N2" s="1524" t="n"/>
    </row>
    <row hidden="false" ht="15.75" outlineLevel="0" r="3">
      <c r="A3" s="93" t="n"/>
      <c r="B3" s="1524" t="n"/>
      <c r="C3" s="1524" t="n"/>
      <c r="D3" s="1524" t="n"/>
      <c r="E3" s="1524" t="n"/>
      <c r="F3" s="1524" t="n"/>
      <c r="G3" s="93" t="n"/>
      <c r="H3" s="1524" t="n"/>
      <c r="I3" s="105" t="s">
        <v>176</v>
      </c>
      <c r="J3" s="1524" t="n"/>
      <c r="K3" s="1524" t="n"/>
      <c r="L3" s="1524" t="n"/>
      <c r="M3" s="1524" t="n"/>
      <c r="N3" s="1524" t="n"/>
    </row>
    <row hidden="false" ht="15.75" outlineLevel="0" r="4">
      <c r="A4" s="93" t="n"/>
      <c r="B4" s="1524" t="n"/>
      <c r="C4" s="1524" t="n"/>
      <c r="D4" s="1524" t="n"/>
      <c r="E4" s="1524" t="n"/>
      <c r="F4" s="1524" t="n"/>
      <c r="G4" s="93" t="n"/>
      <c r="H4" s="1524" t="n"/>
      <c r="I4" s="101" t="s">
        <v>226</v>
      </c>
      <c r="J4" s="1524" t="n"/>
      <c r="K4" s="1524" t="n"/>
      <c r="L4" s="1524" t="n"/>
      <c r="M4" s="1524" t="n"/>
      <c r="N4" s="1524" t="n"/>
    </row>
    <row hidden="false" ht="15.75" outlineLevel="0" r="5">
      <c r="A5" s="93" t="n"/>
      <c r="B5" s="1524" t="n"/>
      <c r="C5" s="1524" t="n"/>
      <c r="D5" s="1524" t="n"/>
      <c r="E5" s="1524" t="n"/>
      <c r="F5" s="1524" t="n"/>
      <c r="G5" s="93" t="n"/>
      <c r="H5" s="1524" t="n"/>
      <c r="I5" s="105" t="s">
        <v>178</v>
      </c>
      <c r="J5" s="1524" t="n"/>
      <c r="K5" s="1524" t="n"/>
      <c r="L5" s="1524" t="n"/>
      <c r="M5" s="1524" t="n"/>
      <c r="N5" s="1524" t="n"/>
    </row>
    <row hidden="false" ht="15.75" outlineLevel="0" r="6">
      <c r="A6" s="93" t="n"/>
      <c r="B6" s="1524" t="n"/>
      <c r="C6" s="1524" t="n"/>
      <c r="D6" s="1524" t="n"/>
      <c r="E6" s="1524" t="n"/>
      <c r="F6" s="1524" t="n"/>
      <c r="G6" s="105" t="n"/>
      <c r="H6" s="1524" t="n"/>
      <c r="I6" s="1524" t="n"/>
      <c r="J6" s="1524" t="n"/>
      <c r="K6" s="1524" t="n"/>
      <c r="L6" s="1524" t="n"/>
      <c r="M6" s="1524" t="n"/>
      <c r="N6" s="1524" t="n"/>
    </row>
    <row customHeight="true" hidden="false" ht="36.75" outlineLevel="0" r="7">
      <c r="A7" s="3306" t="s">
        <v>396</v>
      </c>
      <c r="B7" s="3306" t="s"/>
      <c r="C7" s="3306" t="s"/>
      <c r="D7" s="3306" t="s"/>
      <c r="E7" s="3306" t="s"/>
      <c r="F7" s="3306" t="s"/>
      <c r="G7" s="3306" t="s"/>
      <c r="H7" s="3306" t="s"/>
      <c r="I7" s="3306" t="s"/>
      <c r="J7" s="3306" t="s"/>
      <c r="K7" s="3306" t="s"/>
      <c r="L7" s="3306" t="s"/>
      <c r="M7" s="3306" t="s"/>
      <c r="N7" s="3306" t="s"/>
    </row>
    <row hidden="false" ht="15.75" outlineLevel="0" r="8">
      <c r="A8" s="4" t="n"/>
      <c r="B8" s="101" t="s">
        <v>232</v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</row>
    <row customHeight="true" hidden="false" ht="78" outlineLevel="0" r="9">
      <c r="A9" s="17" t="n"/>
      <c r="B9" s="129" t="s">
        <v>184</v>
      </c>
      <c r="C9" s="3818" t="s"/>
      <c r="D9" s="129" t="s">
        <v>233</v>
      </c>
      <c r="E9" s="3819" t="s"/>
      <c r="F9" s="3820" t="s"/>
      <c r="G9" s="129" t="s">
        <v>186</v>
      </c>
      <c r="H9" s="3821" t="s"/>
      <c r="I9" s="129" t="s">
        <v>187</v>
      </c>
      <c r="J9" s="3822" t="s"/>
      <c r="K9" s="3823" t="s"/>
      <c r="L9" s="129" t="s">
        <v>347</v>
      </c>
      <c r="M9" s="3824" t="s"/>
      <c r="N9" s="3826" t="s"/>
    </row>
    <row customHeight="true" hidden="false" ht="19.5" outlineLevel="0" r="10">
      <c r="A10" s="17" t="n">
        <v>1</v>
      </c>
      <c r="B10" s="32" t="s">
        <v>362</v>
      </c>
      <c r="C10" s="3834" t="s"/>
      <c r="D10" s="225" t="n">
        <f aca="false" ca="false" dt2D="false" dtr="false" t="normal">68946*1.302</f>
        <v>89767.69200000001</v>
      </c>
      <c r="E10" s="3841" t="s"/>
      <c r="F10" s="3843" t="s"/>
      <c r="G10" s="225" t="n">
        <f aca="false" ca="false" dt2D="false" dtr="false" t="normal">SUM(22*8)*60</f>
        <v>10560</v>
      </c>
      <c r="H10" s="3845" t="s"/>
      <c r="I10" s="225" t="n">
        <f aca="false" ca="false" dt2D="false" dtr="false" t="normal">SUM(60*16)</f>
        <v>960</v>
      </c>
      <c r="J10" s="3854" t="s"/>
      <c r="K10" s="3855" t="s"/>
      <c r="L10" s="225" t="n">
        <f aca="false" ca="false" dt2D="false" dtr="false" t="normal">D10/G10*I10</f>
        <v>8160.699272727273</v>
      </c>
      <c r="M10" s="3856" t="s"/>
      <c r="N10" s="3857" t="s"/>
    </row>
    <row customHeight="true" hidden="false" ht="15.75" outlineLevel="0" r="11">
      <c r="A11" s="211" t="n">
        <v>2</v>
      </c>
      <c r="B11" s="32" t="s">
        <v>397</v>
      </c>
      <c r="C11" s="3861" t="s"/>
      <c r="D11" s="225" t="n">
        <f aca="false" ca="false" dt2D="false" dtr="false" t="normal">68852*1.302</f>
        <v>89645.304</v>
      </c>
      <c r="E11" s="3867" t="s"/>
      <c r="F11" s="3868" t="s"/>
      <c r="G11" s="225" t="n">
        <f aca="false" ca="false" dt2D="false" dtr="false" t="normal">SUM(22*8)*60</f>
        <v>10560</v>
      </c>
      <c r="H11" s="3869" t="s"/>
      <c r="I11" s="225" t="n">
        <f aca="false" ca="false" dt2D="false" dtr="false" t="normal">SUM(60*16)</f>
        <v>960</v>
      </c>
      <c r="J11" s="3871" t="s"/>
      <c r="K11" s="3873" t="s"/>
      <c r="L11" s="225" t="n">
        <f aca="false" ca="false" dt2D="false" dtr="false" t="normal">D11/G11*I11</f>
        <v>8149.573090909091</v>
      </c>
      <c r="M11" s="3880" t="s"/>
      <c r="N11" s="3881" t="s"/>
    </row>
    <row customHeight="true" hidden="false" ht="15.75" outlineLevel="0" r="12">
      <c r="A12" s="124" t="n"/>
      <c r="B12" s="32" t="s">
        <v>183</v>
      </c>
      <c r="C12" s="3882" t="s"/>
      <c r="D12" s="225" t="n">
        <f aca="false" ca="false" dt2D="false" dtr="false" t="normal">SUM(D10:F11)</f>
        <v>179412.996</v>
      </c>
      <c r="E12" s="3885" t="s"/>
      <c r="F12" s="3887" t="s"/>
      <c r="G12" s="225" t="n">
        <f aca="false" ca="false" dt2D="false" dtr="false" t="normal">SUM(G10:H11)</f>
        <v>21120</v>
      </c>
      <c r="H12" s="3893" t="s"/>
      <c r="I12" s="225" t="n">
        <f aca="false" ca="false" dt2D="false" dtr="false" t="normal">SUM(I10:K11)</f>
        <v>1920</v>
      </c>
      <c r="J12" s="3894" t="s"/>
      <c r="K12" s="3895" t="s"/>
      <c r="L12" s="3896" t="n">
        <f aca="false" ca="false" dt2D="false" dtr="false" t="normal">SUM(L10:N11)</f>
        <v>16310.272363636363</v>
      </c>
      <c r="M12" s="3898" t="s"/>
      <c r="N12" s="3900" t="s"/>
    </row>
    <row customHeight="true" hidden="false" ht="15.75" outlineLevel="0" r="13">
      <c r="A13" s="4" t="n"/>
      <c r="B13" s="188" t="n"/>
      <c r="C13" s="188" t="s"/>
      <c r="D13" s="119" t="n"/>
      <c r="E13" s="119" t="s"/>
      <c r="F13" s="119" t="s"/>
      <c r="G13" s="119" t="n"/>
      <c r="H13" s="119" t="s"/>
      <c r="I13" s="119" t="n"/>
      <c r="J13" s="119" t="s"/>
      <c r="K13" s="119" t="s"/>
      <c r="L13" s="119" t="n"/>
      <c r="M13" s="119" t="s"/>
      <c r="N13" s="119" t="s"/>
    </row>
    <row customHeight="true" hidden="false" ht="15.75" outlineLevel="0" r="14">
      <c r="A14" s="4" t="n"/>
      <c r="B14" s="195" t="s">
        <v>198</v>
      </c>
      <c r="C14" s="195" t="s"/>
      <c r="D14" s="195" t="s"/>
      <c r="E14" s="195" t="s"/>
      <c r="F14" s="195" t="s"/>
      <c r="G14" s="119" t="n"/>
      <c r="H14" s="119" t="s"/>
      <c r="I14" s="119" t="n"/>
      <c r="J14" s="119" t="s"/>
      <c r="K14" s="119" t="s"/>
      <c r="L14" s="119" t="n"/>
      <c r="M14" s="119" t="s"/>
      <c r="N14" s="119" t="s"/>
    </row>
    <row customHeight="true" hidden="false" ht="57" outlineLevel="0" r="15">
      <c r="A15" s="275" t="n"/>
      <c r="B15" s="129" t="s">
        <v>200</v>
      </c>
      <c r="C15" s="3914" t="s"/>
      <c r="D15" s="129" t="s">
        <v>201</v>
      </c>
      <c r="E15" s="3916" t="s"/>
      <c r="F15" s="3917" t="s"/>
      <c r="G15" s="129" t="s">
        <v>202</v>
      </c>
      <c r="H15" s="3918" t="s"/>
      <c r="I15" s="129" t="s">
        <v>203</v>
      </c>
      <c r="J15" s="3919" t="s"/>
      <c r="K15" s="3920" t="s"/>
      <c r="L15" s="129" t="s">
        <v>349</v>
      </c>
      <c r="M15" s="3921" t="s"/>
      <c r="N15" s="3922" t="s"/>
    </row>
    <row customHeight="true" hidden="false" ht="15.75" outlineLevel="0" r="16">
      <c r="A16" s="17" t="n">
        <v>1</v>
      </c>
      <c r="B16" s="32" t="s">
        <v>350</v>
      </c>
      <c r="C16" s="3928" t="s"/>
      <c r="D16" s="95" t="s">
        <v>342</v>
      </c>
      <c r="E16" s="3932" t="s"/>
      <c r="F16" s="3933" t="s"/>
      <c r="G16" s="95" t="n">
        <f aca="false" ca="false" dt2D="false" dtr="false" t="normal">3*15.6</f>
        <v>46.8</v>
      </c>
      <c r="H16" s="3935" t="s"/>
      <c r="I16" s="95" t="n">
        <v>72.06</v>
      </c>
      <c r="J16" s="3936" t="s"/>
      <c r="K16" s="3937" t="s"/>
      <c r="L16" s="225" t="n">
        <f aca="false" ca="false" dt2D="false" dtr="false" t="normal">G16*I16</f>
        <v>3372.408</v>
      </c>
      <c r="M16" s="3938" t="s"/>
      <c r="N16" s="3939" t="s"/>
    </row>
    <row customHeight="true" hidden="false" ht="15.75" outlineLevel="0" r="17">
      <c r="A17" s="17" t="n">
        <v>2</v>
      </c>
      <c r="B17" s="32" t="s">
        <v>350</v>
      </c>
      <c r="C17" s="3940" t="s"/>
      <c r="D17" s="95" t="s">
        <v>342</v>
      </c>
      <c r="E17" s="3941" t="s"/>
      <c r="F17" s="3942" t="s"/>
      <c r="G17" s="95" t="n">
        <f aca="false" ca="false" dt2D="false" dtr="false" t="normal">SUM(3.75*J25)</f>
        <v>75</v>
      </c>
      <c r="H17" s="3951" t="s"/>
      <c r="I17" s="95" t="n">
        <v>72.06</v>
      </c>
      <c r="J17" s="3952" t="s"/>
      <c r="K17" s="3953" t="s"/>
      <c r="L17" s="225" t="n">
        <f aca="false" ca="false" dt2D="false" dtr="false" t="normal">G17*I17</f>
        <v>5404.5</v>
      </c>
      <c r="M17" s="3954" t="s"/>
      <c r="N17" s="3956" t="s"/>
    </row>
    <row customHeight="true" hidden="false" ht="15.75" outlineLevel="0" r="18">
      <c r="A18" s="17" t="n">
        <v>3</v>
      </c>
      <c r="B18" s="32" t="s">
        <v>351</v>
      </c>
      <c r="C18" s="3964" t="s"/>
      <c r="D18" s="95" t="s">
        <v>342</v>
      </c>
      <c r="E18" s="3965" t="s"/>
      <c r="F18" s="3966" t="s"/>
      <c r="G18" s="95" t="n">
        <f aca="false" ca="false" dt2D="false" dtr="false" t="normal">G16*0.05*2</f>
        <v>4.68</v>
      </c>
      <c r="H18" s="3967" t="s"/>
      <c r="I18" s="95" t="n">
        <v>400</v>
      </c>
      <c r="J18" s="3975" t="s"/>
      <c r="K18" s="3977" t="s"/>
      <c r="L18" s="225" t="n">
        <f aca="false" ca="false" dt2D="false" dtr="false" t="normal">G18*I18</f>
        <v>1872</v>
      </c>
      <c r="M18" s="3978" t="s"/>
      <c r="N18" s="3979" t="s"/>
    </row>
    <row customHeight="true" hidden="false" ht="15.75" outlineLevel="0" r="19">
      <c r="A19" s="124" t="n"/>
      <c r="B19" s="32" t="s">
        <v>183</v>
      </c>
      <c r="C19" s="3980" t="s"/>
      <c r="D19" s="95" t="n"/>
      <c r="E19" s="3983" t="s"/>
      <c r="F19" s="3985" t="s"/>
      <c r="G19" s="95" t="n"/>
      <c r="H19" s="3990" t="s"/>
      <c r="I19" s="95" t="n"/>
      <c r="J19" s="3992" t="s"/>
      <c r="K19" s="3993" t="s"/>
      <c r="L19" s="250" t="n">
        <f aca="false" ca="false" dt2D="false" dtr="false" t="normal">SUM(L16:N18)</f>
        <v>10648.908</v>
      </c>
      <c r="M19" s="3994" t="s"/>
      <c r="N19" s="3995" t="s"/>
    </row>
    <row hidden="false" ht="15.75" outlineLevel="0" r="20">
      <c r="A20" s="4" t="n"/>
      <c r="B20" s="119" t="n"/>
      <c r="C20" s="119" t="n"/>
      <c r="D20" s="119" t="n"/>
      <c r="E20" s="119" t="n"/>
      <c r="F20" s="119" t="n"/>
      <c r="G20" s="119" t="n"/>
      <c r="H20" s="119" t="n"/>
      <c r="I20" s="119" t="n"/>
      <c r="J20" s="119" t="n"/>
      <c r="K20" s="119" t="n"/>
      <c r="L20" s="253" t="n"/>
      <c r="M20" s="253" t="n"/>
      <c r="N20" s="253" t="n"/>
    </row>
    <row hidden="false" ht="15.75" outlineLevel="0" r="21">
      <c r="A21" s="4" t="n"/>
      <c r="B21" s="105" t="s">
        <v>212</v>
      </c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</row>
    <row customHeight="true" hidden="false" ht="92.25" outlineLevel="0" r="22">
      <c r="A22" s="17" t="n"/>
      <c r="B22" s="129" t="s">
        <v>213</v>
      </c>
      <c r="C22" s="4012" t="s"/>
      <c r="D22" s="129" t="s">
        <v>214</v>
      </c>
      <c r="E22" s="4013" t="s"/>
      <c r="F22" s="4014" t="s"/>
      <c r="G22" s="259" t="s">
        <v>215</v>
      </c>
      <c r="H22" s="3183" t="s">
        <v>216</v>
      </c>
      <c r="I22" s="4023" t="s"/>
      <c r="J22" s="129" t="s">
        <v>217</v>
      </c>
      <c r="K22" s="4024" t="s"/>
      <c r="L22" s="4025" t="s"/>
      <c r="M22" s="129" t="s">
        <v>218</v>
      </c>
      <c r="N22" s="4026" t="s"/>
    </row>
    <row customHeight="true" hidden="false" ht="15.75" outlineLevel="0" r="23">
      <c r="A23" s="17" t="n">
        <v>1</v>
      </c>
      <c r="B23" s="32" t="s">
        <v>399</v>
      </c>
      <c r="C23" s="4027" t="s"/>
      <c r="D23" s="95" t="n">
        <v>350000</v>
      </c>
      <c r="E23" s="4033" t="s"/>
      <c r="F23" s="4035" t="s"/>
      <c r="G23" s="98" t="n">
        <v>0.1</v>
      </c>
      <c r="H23" s="99" t="n">
        <f aca="false" ca="false" dt2D="false" dtr="false" t="normal">12*20*4</f>
        <v>960</v>
      </c>
      <c r="I23" s="4038" t="s"/>
      <c r="J23" s="95" t="n">
        <f aca="false" ca="false" dt2D="false" dtr="false" t="normal">SUM(3*8)</f>
        <v>24</v>
      </c>
      <c r="K23" s="4040" t="s"/>
      <c r="L23" s="4041" t="s"/>
      <c r="M23" s="106" t="n">
        <f aca="false" ca="false" dt2D="false" dtr="false" t="normal">SUM(D23*G23)/H23*J23</f>
        <v>875</v>
      </c>
      <c r="N23" s="4042" t="s"/>
    </row>
    <row customHeight="true" hidden="false" ht="15.75" outlineLevel="0" r="24">
      <c r="A24" s="17" t="n">
        <v>2</v>
      </c>
      <c r="B24" s="32" t="s">
        <v>401</v>
      </c>
      <c r="C24" s="4043" t="s"/>
      <c r="D24" s="95" t="n">
        <v>80000</v>
      </c>
      <c r="E24" s="4045" t="s"/>
      <c r="F24" s="4046" t="s"/>
      <c r="G24" s="98" t="n">
        <v>0.1</v>
      </c>
      <c r="H24" s="4050" t="n">
        <f aca="false" ca="false" dt2D="false" dtr="false" t="normal">8*4*60</f>
        <v>1920</v>
      </c>
      <c r="I24" s="4051" t="s"/>
      <c r="J24" s="95" t="n">
        <f aca="false" ca="false" dt2D="false" dtr="false" t="normal">SUM(2.5*8)</f>
        <v>20</v>
      </c>
      <c r="K24" s="4055" t="s"/>
      <c r="L24" s="4056" t="s"/>
      <c r="M24" s="106" t="n">
        <f aca="false" ca="false" dt2D="false" dtr="false" t="normal">SUM(D24*G24)/H24*6</f>
        <v>25</v>
      </c>
      <c r="N24" s="4059" t="s"/>
    </row>
    <row hidden="false" ht="15.75" outlineLevel="0" r="25">
      <c r="A25" s="17" t="n">
        <v>3</v>
      </c>
      <c r="B25" s="3375" t="s">
        <v>402</v>
      </c>
      <c r="C25" s="4060" t="s"/>
      <c r="D25" s="4061" t="n">
        <v>498000</v>
      </c>
      <c r="E25" s="4062" t="s"/>
      <c r="F25" s="4063" t="s"/>
      <c r="G25" s="98" t="n">
        <v>0.1</v>
      </c>
      <c r="H25" s="4050" t="n">
        <f aca="false" ca="false" dt2D="false" dtr="false" t="normal">8*4*60</f>
        <v>1920</v>
      </c>
      <c r="I25" s="4064" t="s"/>
      <c r="J25" s="95" t="n">
        <f aca="false" ca="false" dt2D="false" dtr="false" t="normal">SUM(2.5*8)</f>
        <v>20</v>
      </c>
      <c r="K25" s="4065" t="s"/>
      <c r="L25" s="4066" t="s"/>
      <c r="M25" s="106" t="n">
        <f aca="false" ca="false" dt2D="false" dtr="false" t="normal">SUM(D25*G25)/H25*6</f>
        <v>155.625</v>
      </c>
      <c r="N25" s="4067" t="s"/>
    </row>
    <row customHeight="true" hidden="false" ht="15.75" outlineLevel="0" r="26">
      <c r="A26" s="124" t="n"/>
      <c r="B26" s="32" t="s">
        <v>183</v>
      </c>
      <c r="C26" s="4047" t="s"/>
      <c r="D26" s="95" t="n"/>
      <c r="E26" s="4048" t="s"/>
      <c r="F26" s="4049" t="s"/>
      <c r="G26" s="3204" t="n"/>
      <c r="H26" s="3668" t="n"/>
      <c r="I26" s="4052" t="s"/>
      <c r="J26" s="95" t="n"/>
      <c r="K26" s="4053" t="s"/>
      <c r="L26" s="4054" t="s"/>
      <c r="M26" s="4057" t="n">
        <f aca="false" ca="false" dt2D="false" dtr="false" t="normal">SUM(M23:N25)</f>
        <v>1055.625</v>
      </c>
      <c r="N26" s="4058" t="s"/>
    </row>
    <row hidden="false" ht="12.75" outlineLevel="0" r="27">
      <c r="A27" s="93" t="n"/>
      <c r="B27" s="3348" t="n"/>
      <c r="C27" s="3348" t="n"/>
      <c r="D27" s="3348" t="n"/>
      <c r="E27" s="3348" t="n"/>
      <c r="F27" s="3348" t="n"/>
      <c r="G27" s="3348" t="n"/>
      <c r="H27" s="3348" t="n"/>
      <c r="I27" s="3348" t="n"/>
      <c r="J27" s="3348" t="n"/>
      <c r="K27" s="3348" t="n"/>
      <c r="L27" s="3684" t="n"/>
      <c r="M27" s="3684" t="n"/>
      <c r="N27" s="3684" t="n"/>
    </row>
    <row hidden="false" ht="15.75" outlineLevel="0" r="28">
      <c r="A28" s="4" t="n"/>
      <c r="B28" s="101" t="s">
        <v>219</v>
      </c>
      <c r="C28" s="119" t="n"/>
      <c r="D28" s="119" t="n"/>
      <c r="E28" s="119" t="n"/>
      <c r="F28" s="119" t="n"/>
      <c r="G28" s="119" t="n"/>
      <c r="H28" s="119" t="n"/>
      <c r="I28" s="119" t="n"/>
      <c r="J28" s="4" t="n"/>
      <c r="K28" s="4" t="n"/>
      <c r="L28" s="93" t="n"/>
      <c r="M28" s="93" t="n"/>
      <c r="N28" s="93" t="n"/>
    </row>
    <row customHeight="true" hidden="false" ht="15.75" outlineLevel="0" r="29">
      <c r="A29" s="20" t="n"/>
      <c r="B29" s="266" t="s">
        <v>220</v>
      </c>
      <c r="C29" s="3786" t="s"/>
      <c r="D29" s="3787" t="s"/>
      <c r="E29" s="3788" t="s"/>
      <c r="F29" s="3789" t="s"/>
      <c r="G29" s="3790" t="s"/>
      <c r="H29" s="3791" t="s"/>
      <c r="I29" s="3792" t="s"/>
      <c r="J29" s="3793" t="s"/>
      <c r="K29" s="275" t="s">
        <v>270</v>
      </c>
      <c r="L29" s="93" t="n"/>
      <c r="M29" s="93" t="n"/>
      <c r="N29" s="93" t="n"/>
    </row>
    <row customHeight="true" hidden="false" ht="15.75" outlineLevel="0" r="30">
      <c r="A30" s="17" t="n">
        <v>1</v>
      </c>
      <c r="B30" s="276" t="s">
        <v>222</v>
      </c>
      <c r="C30" s="3794" t="s"/>
      <c r="D30" s="3795" t="s"/>
      <c r="E30" s="3796" t="s"/>
      <c r="F30" s="3797" t="s"/>
      <c r="G30" s="3798" t="s"/>
      <c r="H30" s="3799" t="s"/>
      <c r="I30" s="3800" t="s"/>
      <c r="J30" s="3801" t="s"/>
      <c r="K30" s="285" t="n">
        <f aca="false" ca="false" dt2D="false" dtr="false" t="normal">SUM(K31:K32)</f>
        <v>102227.7696936147</v>
      </c>
      <c r="L30" s="93" t="n"/>
      <c r="N30" s="93" t="n"/>
    </row>
    <row customHeight="true" hidden="false" ht="32.25" outlineLevel="0" r="31">
      <c r="A31" s="17" t="n"/>
      <c r="B31" s="144" t="s">
        <v>223</v>
      </c>
      <c r="C31" s="3802" t="s"/>
      <c r="D31" s="3803" t="s"/>
      <c r="E31" s="3804" t="s"/>
      <c r="F31" s="3805" t="s"/>
      <c r="G31" s="3806" t="s"/>
      <c r="H31" s="3807" t="s"/>
      <c r="I31" s="3808" t="s"/>
      <c r="J31" s="3809" t="s"/>
      <c r="K31" s="285" t="n">
        <f aca="false" ca="false" dt2D="false" dtr="false" t="normal">(15990207-D12)*1.302/218</f>
        <v>94429.60455600002</v>
      </c>
      <c r="L31" s="93" t="n"/>
      <c r="N31" s="93" t="n"/>
    </row>
    <row customHeight="true" hidden="false" ht="33.75" outlineLevel="0" r="32">
      <c r="A32" s="17" t="n"/>
      <c r="B32" s="144" t="s">
        <v>224</v>
      </c>
      <c r="C32" s="3810" t="s"/>
      <c r="D32" s="3811" t="s"/>
      <c r="E32" s="3812" t="s"/>
      <c r="F32" s="3813" t="s"/>
      <c r="G32" s="3814" t="s"/>
      <c r="H32" s="3815" t="s"/>
      <c r="I32" s="3816" t="s"/>
      <c r="J32" s="3817" t="s"/>
      <c r="K32" s="285" t="n">
        <f aca="false" ca="false" dt2D="false" dtr="false" t="normal">(200000+1500000)/218</f>
        <v>7798.165137614679</v>
      </c>
      <c r="L32" s="93" t="n"/>
      <c r="N32" s="93" t="n"/>
    </row>
    <row customHeight="true" hidden="false" ht="15.75" outlineLevel="0" r="33">
      <c r="A33" s="17" t="n">
        <v>2</v>
      </c>
      <c r="B33" s="144" t="s">
        <v>225</v>
      </c>
      <c r="C33" s="3825" t="s"/>
      <c r="D33" s="3827" t="s"/>
      <c r="E33" s="3828" t="s"/>
      <c r="F33" s="3829" t="s"/>
      <c r="G33" s="3830" t="s"/>
      <c r="H33" s="3831" t="s"/>
      <c r="I33" s="3832" t="s"/>
      <c r="J33" s="3833" t="s"/>
      <c r="K33" s="285" t="n">
        <f aca="false" ca="false" dt2D="false" dtr="false" t="normal">SUM(K34:K35)</f>
        <v>68104.96788990825</v>
      </c>
      <c r="L33" s="93" t="n"/>
      <c r="N33" s="93" t="n"/>
    </row>
    <row customHeight="true" hidden="false" ht="15.75" outlineLevel="0" r="34">
      <c r="A34" s="17" t="n"/>
      <c r="B34" s="310" t="s">
        <v>227</v>
      </c>
      <c r="C34" s="3835" t="s"/>
      <c r="D34" s="3836" t="s"/>
      <c r="E34" s="3837" t="s"/>
      <c r="F34" s="3838" t="s"/>
      <c r="G34" s="3839" t="s"/>
      <c r="H34" s="3840" t="s"/>
      <c r="I34" s="3842" t="s"/>
      <c r="J34" s="3844" t="s"/>
      <c r="K34" s="285" t="n">
        <f aca="false" ca="false" dt2D="false" dtr="false" t="normal">2000000/218</f>
        <v>9174.311926605504</v>
      </c>
      <c r="L34" s="93" t="n"/>
      <c r="N34" s="93" t="n"/>
    </row>
    <row customHeight="true" hidden="false" ht="15.75" outlineLevel="0" r="35">
      <c r="A35" s="17" t="n"/>
      <c r="B35" s="310" t="s">
        <v>228</v>
      </c>
      <c r="C35" s="3846" t="s"/>
      <c r="D35" s="3847" t="s"/>
      <c r="E35" s="3848" t="s"/>
      <c r="F35" s="3849" t="s"/>
      <c r="G35" s="3850" t="s"/>
      <c r="H35" s="3851" t="s"/>
      <c r="I35" s="3852" t="s"/>
      <c r="J35" s="3853" t="s"/>
      <c r="K35" s="285" t="n">
        <f aca="false" ca="false" dt2D="false" dtr="false" t="normal">(8246883+3800000+800000)/218</f>
        <v>58930.65596330275</v>
      </c>
      <c r="L35" s="93" t="n"/>
      <c r="N35" s="93" t="n"/>
    </row>
    <row customHeight="true" hidden="false" ht="33" outlineLevel="0" r="36">
      <c r="A36" s="17" t="n">
        <v>3</v>
      </c>
      <c r="B36" s="144" t="s">
        <v>230</v>
      </c>
      <c r="C36" s="3858" t="s"/>
      <c r="D36" s="3859" t="s"/>
      <c r="E36" s="3860" t="s"/>
      <c r="F36" s="3862" t="s"/>
      <c r="G36" s="3863" t="s"/>
      <c r="H36" s="3864" t="s"/>
      <c r="I36" s="3865" t="s"/>
      <c r="J36" s="3866" t="s"/>
      <c r="K36" s="285" t="n">
        <f aca="false" ca="false" dt2D="false" dtr="false" t="normal">SUM(M26)</f>
        <v>1055.625</v>
      </c>
      <c r="L36" s="93" t="n"/>
      <c r="N36" s="93" t="n"/>
    </row>
    <row customHeight="true" hidden="false" ht="15.75" outlineLevel="0" r="37">
      <c r="A37" s="17" t="n"/>
      <c r="B37" s="276" t="s">
        <v>183</v>
      </c>
      <c r="C37" s="3870" t="s"/>
      <c r="D37" s="3872" t="s"/>
      <c r="E37" s="3874" t="s"/>
      <c r="F37" s="3875" t="s"/>
      <c r="G37" s="3876" t="s"/>
      <c r="H37" s="3877" t="s"/>
      <c r="I37" s="3878" t="s"/>
      <c r="J37" s="3879" t="s"/>
      <c r="K37" s="285" t="n">
        <f aca="false" ca="false" dt2D="false" dtr="false" t="normal">K33+K36</f>
        <v>69160.59288990825</v>
      </c>
      <c r="L37" s="93" t="n"/>
      <c r="M37" s="93" t="n"/>
      <c r="N37" s="93" t="n"/>
    </row>
    <row customHeight="true" hidden="false" ht="24.75" outlineLevel="0" r="38">
      <c r="A38" s="17" t="n">
        <v>4</v>
      </c>
      <c r="B38" s="144" t="s">
        <v>231</v>
      </c>
      <c r="C38" s="3883" t="s"/>
      <c r="D38" s="3884" t="s"/>
      <c r="E38" s="3886" t="s"/>
      <c r="F38" s="3888" t="s"/>
      <c r="G38" s="3889" t="s"/>
      <c r="H38" s="3890" t="s"/>
      <c r="I38" s="3891" t="s"/>
      <c r="J38" s="3892" t="s"/>
      <c r="K38" s="285" t="n">
        <f aca="false" ca="false" dt2D="false" dtr="false" t="normal">SUM(D12)</f>
        <v>179412.996</v>
      </c>
      <c r="L38" s="93" t="n"/>
      <c r="M38" s="93" t="n"/>
      <c r="N38" s="93" t="n"/>
    </row>
    <row customHeight="true" hidden="false" ht="15.75" outlineLevel="0" r="39">
      <c r="A39" s="17" t="n">
        <v>5</v>
      </c>
      <c r="B39" s="276" t="s">
        <v>234</v>
      </c>
      <c r="C39" s="3897" t="s"/>
      <c r="D39" s="3899" t="s"/>
      <c r="E39" s="3901" t="s"/>
      <c r="F39" s="3902" t="s"/>
      <c r="G39" s="3903" t="s"/>
      <c r="H39" s="3904" t="s"/>
      <c r="I39" s="3905" t="s"/>
      <c r="J39" s="3906" t="s"/>
      <c r="K39" s="285" t="n">
        <f aca="false" ca="false" dt2D="false" dtr="false" t="normal">(K30+K33+K36)/K38</f>
        <v>0.9552728420159872</v>
      </c>
      <c r="L39" s="93" t="n"/>
      <c r="M39" s="93" t="n"/>
      <c r="N39" s="93" t="n"/>
    </row>
    <row customHeight="true" hidden="false" ht="21.75" outlineLevel="0" r="40">
      <c r="A40" s="17" t="n">
        <f aca="false" ca="false" dt2D="false" dtr="false" t="normal">SUM(A39+1)</f>
        <v>6</v>
      </c>
      <c r="B40" s="144" t="s">
        <v>235</v>
      </c>
      <c r="C40" s="3907" t="s"/>
      <c r="D40" s="3908" t="s"/>
      <c r="E40" s="3909" t="s"/>
      <c r="F40" s="3910" t="s"/>
      <c r="G40" s="3911" t="s"/>
      <c r="H40" s="3912" t="s"/>
      <c r="I40" s="3913" t="s"/>
      <c r="J40" s="3915" t="s"/>
      <c r="K40" s="285" t="n">
        <f aca="false" ca="false" dt2D="false" dtr="false" t="normal">SUM(L12+L19+M26)</f>
        <v>28014.805363636362</v>
      </c>
      <c r="L40" s="93" t="n"/>
      <c r="M40" s="93" t="n"/>
      <c r="N40" s="93" t="n"/>
    </row>
    <row customHeight="true" hidden="false" ht="15.75" outlineLevel="0" r="41">
      <c r="A41" s="3558" t="n">
        <v>7</v>
      </c>
      <c r="B41" s="276" t="s">
        <v>236</v>
      </c>
      <c r="C41" s="3923" t="s"/>
      <c r="D41" s="3924" t="s"/>
      <c r="E41" s="3925" t="s"/>
      <c r="F41" s="3926" t="s"/>
      <c r="G41" s="3927" t="s"/>
      <c r="H41" s="3929" t="s"/>
      <c r="I41" s="3930" t="s"/>
      <c r="J41" s="3931" t="s"/>
      <c r="K41" s="3934" t="n">
        <f aca="false" ca="false" dt2D="false" dtr="false" t="normal">SUM(K40*K39)</f>
        <v>26761.782738245627</v>
      </c>
      <c r="L41" s="93" t="n"/>
      <c r="M41" s="93" t="n"/>
      <c r="N41" s="93" t="n"/>
    </row>
    <row hidden="false" ht="12.75" outlineLevel="0" r="42">
      <c r="A42" s="3576" t="n"/>
      <c r="L42" s="93" t="n"/>
      <c r="M42" s="93" t="n"/>
      <c r="N42" s="93" t="n"/>
    </row>
    <row customHeight="true" hidden="false" ht="48.75" outlineLevel="0" r="43">
      <c r="A43" s="403" t="s">
        <v>398</v>
      </c>
      <c r="B43" s="403" t="s"/>
      <c r="C43" s="403" t="s"/>
      <c r="D43" s="403" t="s"/>
      <c r="E43" s="403" t="s"/>
      <c r="F43" s="403" t="s"/>
      <c r="G43" s="403" t="s"/>
      <c r="H43" s="403" t="s"/>
      <c r="I43" s="403" t="s"/>
      <c r="J43" s="403" t="s"/>
      <c r="K43" s="403" t="s"/>
      <c r="L43" s="93" t="n"/>
      <c r="M43" s="93" t="n"/>
      <c r="N43" s="93" t="n"/>
    </row>
    <row customHeight="true" hidden="false" ht="31.5" outlineLevel="0" r="44">
      <c r="A44" s="169" t="s">
        <v>239</v>
      </c>
      <c r="B44" s="169" t="s">
        <v>240</v>
      </c>
      <c r="C44" s="3943" t="s"/>
      <c r="D44" s="3944" t="s"/>
      <c r="E44" s="3945" t="s"/>
      <c r="F44" s="3946" t="s"/>
      <c r="G44" s="3947" t="s"/>
      <c r="H44" s="3948" t="s"/>
      <c r="I44" s="3949" t="s"/>
      <c r="J44" s="3950" t="s"/>
      <c r="K44" s="417" t="s">
        <v>241</v>
      </c>
      <c r="L44" s="93" t="n"/>
      <c r="M44" s="93" t="n"/>
      <c r="N44" s="93" t="n"/>
    </row>
    <row customHeight="true" hidden="false" ht="15.75" outlineLevel="0" r="45">
      <c r="A45" s="67" t="n">
        <v>1</v>
      </c>
      <c r="B45" s="177" t="s">
        <v>242</v>
      </c>
      <c r="C45" s="3955" t="s"/>
      <c r="D45" s="3957" t="s"/>
      <c r="E45" s="3958" t="s"/>
      <c r="F45" s="3959" t="s"/>
      <c r="G45" s="3960" t="s"/>
      <c r="H45" s="3961" t="s"/>
      <c r="I45" s="3962" t="s"/>
      <c r="J45" s="3963" t="s"/>
      <c r="K45" s="434" t="n">
        <f aca="false" ca="false" dt2D="false" dtr="false" t="normal">SUM(L12)</f>
        <v>16310.272363636363</v>
      </c>
      <c r="L45" s="93" t="n"/>
      <c r="M45" s="93" t="n"/>
      <c r="N45" s="93" t="n"/>
    </row>
    <row customHeight="true" hidden="false" ht="15.75" outlineLevel="0" r="46">
      <c r="A46" s="67" t="n">
        <v>2</v>
      </c>
      <c r="B46" s="189" t="s">
        <v>243</v>
      </c>
      <c r="C46" s="3968" t="s"/>
      <c r="D46" s="3969" t="s"/>
      <c r="E46" s="3970" t="s"/>
      <c r="F46" s="3971" t="s"/>
      <c r="G46" s="3972" t="s"/>
      <c r="H46" s="3973" t="s"/>
      <c r="I46" s="3974" t="s"/>
      <c r="J46" s="3976" t="s"/>
      <c r="K46" s="434" t="n">
        <f aca="false" ca="false" dt2D="false" dtr="false" t="normal">SUM(L19)+559</f>
        <v>11207.908</v>
      </c>
      <c r="L46" s="93" t="n"/>
      <c r="M46" s="93" t="n"/>
      <c r="N46" s="93" t="n"/>
    </row>
    <row customHeight="true" hidden="false" ht="31.5" outlineLevel="0" r="47">
      <c r="A47" s="67" t="n">
        <v>3</v>
      </c>
      <c r="B47" s="177" t="s">
        <v>244</v>
      </c>
      <c r="C47" s="3981" t="s"/>
      <c r="D47" s="3982" t="s"/>
      <c r="E47" s="3984" t="s"/>
      <c r="F47" s="3986" t="s"/>
      <c r="G47" s="3987" t="s"/>
      <c r="H47" s="3988" t="s"/>
      <c r="I47" s="3989" t="s"/>
      <c r="J47" s="3991" t="s"/>
      <c r="K47" s="434" t="n">
        <f aca="false" ca="false" dt2D="false" dtr="false" t="normal">SUM(M26)</f>
        <v>1055.625</v>
      </c>
      <c r="L47" s="93" t="n"/>
      <c r="M47" s="93" t="n"/>
      <c r="N47" s="93" t="n"/>
    </row>
    <row customHeight="true" hidden="false" ht="15.75" outlineLevel="0" r="48">
      <c r="A48" s="67" t="n">
        <v>4</v>
      </c>
      <c r="B48" s="177" t="s">
        <v>245</v>
      </c>
      <c r="C48" s="3996" t="s"/>
      <c r="D48" s="3997" t="s"/>
      <c r="E48" s="3998" t="s"/>
      <c r="F48" s="3999" t="s"/>
      <c r="G48" s="4000" t="s"/>
      <c r="H48" s="4001" t="s"/>
      <c r="I48" s="4002" t="s"/>
      <c r="J48" s="4003" t="s"/>
      <c r="K48" s="434" t="n">
        <f aca="false" ca="false" dt2D="false" dtr="false" t="normal">SUM(K41)</f>
        <v>26761.782738245627</v>
      </c>
      <c r="L48" s="93" t="n"/>
      <c r="M48" s="93" t="n"/>
      <c r="N48" s="93" t="n"/>
    </row>
    <row customHeight="true" hidden="false" ht="15.75" outlineLevel="0" r="49">
      <c r="A49" s="67" t="n">
        <v>5</v>
      </c>
      <c r="B49" s="189" t="s">
        <v>247</v>
      </c>
      <c r="C49" s="4004" t="s"/>
      <c r="D49" s="4005" t="s"/>
      <c r="E49" s="4006" t="s"/>
      <c r="F49" s="4007" t="s"/>
      <c r="G49" s="4008" t="s"/>
      <c r="H49" s="4009" t="s"/>
      <c r="I49" s="4010" t="s"/>
      <c r="J49" s="4011" t="s"/>
      <c r="K49" s="434" t="n">
        <f aca="false" ca="false" dt2D="false" dtr="false" t="normal">SUM(K45:K48)</f>
        <v>55335.58810188199</v>
      </c>
      <c r="L49" s="93" t="n"/>
      <c r="M49" s="93" t="n"/>
      <c r="N49" s="93" t="n"/>
    </row>
    <row customHeight="true" hidden="false" ht="15.75" outlineLevel="0" r="50">
      <c r="A50" s="3672" t="n">
        <v>6</v>
      </c>
      <c r="B50" s="3673" t="s">
        <v>208</v>
      </c>
      <c r="C50" s="4015" t="s"/>
      <c r="D50" s="4016" t="s"/>
      <c r="E50" s="4017" t="s"/>
      <c r="F50" s="4018" t="s"/>
      <c r="G50" s="4019" t="s"/>
      <c r="H50" s="4020" t="s"/>
      <c r="I50" s="4021" t="s"/>
      <c r="J50" s="4022" t="s"/>
      <c r="K50" s="3683" t="n">
        <f aca="false" ca="false" dt2D="false" dtr="false" t="normal">SUM(K49*0.22)</f>
        <v>12173.829382414038</v>
      </c>
      <c r="L50" s="93" t="n"/>
      <c r="M50" s="93" t="n"/>
      <c r="N50" s="93" t="n"/>
    </row>
    <row customHeight="true" hidden="false" ht="15.75" outlineLevel="0" r="51">
      <c r="A51" s="67" t="n"/>
      <c r="B51" s="177" t="s">
        <v>400</v>
      </c>
      <c r="C51" s="4028" t="s"/>
      <c r="D51" s="4029" t="s"/>
      <c r="E51" s="4030" t="s"/>
      <c r="F51" s="4031" t="s"/>
      <c r="G51" s="4032" t="s"/>
      <c r="H51" s="4034" t="s"/>
      <c r="I51" s="4036" t="s"/>
      <c r="J51" s="4037" t="s"/>
      <c r="K51" s="4039" t="n">
        <f aca="false" ca="false" dt2D="false" dtr="false" t="normal">SUM(K49+K50)-9</f>
        <v>67500.41748429603</v>
      </c>
      <c r="L51" s="93" t="n"/>
      <c r="M51" s="93" t="n">
        <v>62800</v>
      </c>
      <c r="N51" s="93" t="n">
        <f aca="false" ca="false" dt2D="false" dtr="false" t="normal">SUM(K51/M51)</f>
        <v>1.074847412170319</v>
      </c>
    </row>
    <row hidden="false" ht="12.75" outlineLevel="0" r="52">
      <c r="A52" s="93" t="n"/>
      <c r="B52" s="93" t="n"/>
      <c r="C52" s="93" t="n"/>
      <c r="D52" s="93" t="n"/>
      <c r="E52" s="93" t="n"/>
      <c r="F52" s="93" t="n"/>
      <c r="G52" s="93" t="n"/>
      <c r="H52" s="93" t="n"/>
      <c r="I52" s="93" t="n"/>
      <c r="J52" s="93" t="n"/>
      <c r="K52" s="93" t="n"/>
      <c r="L52" s="93" t="n"/>
      <c r="M52" s="93" t="n"/>
      <c r="N52" s="93" t="n"/>
    </row>
    <row hidden="false" ht="12.75" outlineLevel="0" r="55">
      <c r="M55" s="4044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03">
    <mergeCell ref="B1:N1"/>
    <mergeCell ref="A7:N7"/>
    <mergeCell ref="B9:C9"/>
    <mergeCell ref="G9:H9"/>
    <mergeCell ref="B11:C11"/>
    <mergeCell ref="D11:F11"/>
    <mergeCell ref="G11:H11"/>
    <mergeCell ref="B12:C12"/>
    <mergeCell ref="D12:F12"/>
    <mergeCell ref="G12:H12"/>
    <mergeCell ref="I11:K11"/>
    <mergeCell ref="L11:N11"/>
    <mergeCell ref="I12:K12"/>
    <mergeCell ref="L12:N12"/>
    <mergeCell ref="D9:F9"/>
    <mergeCell ref="B10:C10"/>
    <mergeCell ref="D10:F10"/>
    <mergeCell ref="I9:K9"/>
    <mergeCell ref="L9:N9"/>
    <mergeCell ref="I10:K10"/>
    <mergeCell ref="L10:N10"/>
    <mergeCell ref="G10:H10"/>
    <mergeCell ref="B13:C13"/>
    <mergeCell ref="D13:F13"/>
    <mergeCell ref="G13:H13"/>
    <mergeCell ref="I13:K13"/>
    <mergeCell ref="L13:N13"/>
    <mergeCell ref="B14:F14"/>
    <mergeCell ref="G14:H14"/>
    <mergeCell ref="I14:K14"/>
    <mergeCell ref="L14:N14"/>
    <mergeCell ref="B15:C15"/>
    <mergeCell ref="D15:F15"/>
    <mergeCell ref="B16:C16"/>
    <mergeCell ref="D16:F16"/>
    <mergeCell ref="G15:H15"/>
    <mergeCell ref="G16:H16"/>
    <mergeCell ref="I15:K15"/>
    <mergeCell ref="L15:N15"/>
    <mergeCell ref="I16:K16"/>
    <mergeCell ref="L16:N16"/>
    <mergeCell ref="B17:C17"/>
    <mergeCell ref="D17:F17"/>
    <mergeCell ref="B18:C18"/>
    <mergeCell ref="D18:F18"/>
    <mergeCell ref="G17:H17"/>
    <mergeCell ref="G18:H18"/>
    <mergeCell ref="I17:K17"/>
    <mergeCell ref="L17:N17"/>
    <mergeCell ref="I18:K18"/>
    <mergeCell ref="L18:N18"/>
    <mergeCell ref="G19:H19"/>
    <mergeCell ref="L19:N19"/>
    <mergeCell ref="I19:K19"/>
    <mergeCell ref="B19:C19"/>
    <mergeCell ref="D19:F19"/>
    <mergeCell ref="D22:F22"/>
    <mergeCell ref="B22:C22"/>
    <mergeCell ref="B23:C23"/>
    <mergeCell ref="D23:F23"/>
    <mergeCell ref="D24:F24"/>
    <mergeCell ref="B24:C24"/>
    <mergeCell ref="D25:F25"/>
    <mergeCell ref="B25:C25"/>
    <mergeCell ref="D26:F26"/>
    <mergeCell ref="B26:C26"/>
    <mergeCell ref="M22:N22"/>
    <mergeCell ref="J22:L22"/>
    <mergeCell ref="H23:I23"/>
    <mergeCell ref="H22:I22"/>
    <mergeCell ref="J23:L23"/>
    <mergeCell ref="M23:N23"/>
    <mergeCell ref="M24:N24"/>
    <mergeCell ref="M25:N25"/>
    <mergeCell ref="J24:L24"/>
    <mergeCell ref="M26:N26"/>
    <mergeCell ref="J25:L25"/>
    <mergeCell ref="J26:L26"/>
    <mergeCell ref="H24:I24"/>
    <mergeCell ref="H25:I25"/>
    <mergeCell ref="H26:I26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A43:K43"/>
    <mergeCell ref="B44:J44"/>
    <mergeCell ref="B45:J45"/>
    <mergeCell ref="B46:J46"/>
    <mergeCell ref="B47:J47"/>
    <mergeCell ref="B48:J48"/>
    <mergeCell ref="B49:J49"/>
    <mergeCell ref="B50:J50"/>
    <mergeCell ref="B51:J51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2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N48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1" min="11" outlineLevel="0" style="398" width="15.074072288431"/>
    <col customWidth="true" hidden="false" max="12" min="12" outlineLevel="0" style="398" width="6.32361253704105"/>
    <col customWidth="true" hidden="false" max="13" min="13" outlineLevel="0" style="398" width="13.1010262128073"/>
  </cols>
  <sheetData>
    <row hidden="false" ht="15" outlineLevel="0" r="1">
      <c r="A1" s="93" t="n"/>
      <c r="B1" s="1524" t="n"/>
      <c r="C1" s="1524" t="s"/>
      <c r="D1" s="1524" t="s"/>
      <c r="E1" s="1524" t="s"/>
      <c r="F1" s="1524" t="s"/>
      <c r="G1" s="1524" t="s"/>
      <c r="H1" s="1524" t="s"/>
      <c r="I1" s="1524" t="s"/>
      <c r="J1" s="1524" t="s"/>
      <c r="K1" s="1524" t="s"/>
      <c r="L1" s="1524" t="s"/>
      <c r="M1" s="1524" t="s"/>
      <c r="N1" s="1524" t="s"/>
    </row>
    <row hidden="false" ht="15.75" outlineLevel="0" r="2">
      <c r="A2" s="93" t="n"/>
      <c r="B2" s="1524" t="n"/>
      <c r="C2" s="1524" t="n"/>
      <c r="D2" s="1524" t="n"/>
      <c r="E2" s="1524" t="n"/>
      <c r="F2" s="1524" t="n"/>
      <c r="G2" s="93" t="n"/>
      <c r="H2" s="1524" t="n"/>
      <c r="I2" s="101" t="s">
        <v>175</v>
      </c>
      <c r="J2" s="1524" t="n"/>
      <c r="K2" s="1524" t="n"/>
      <c r="L2" s="1524" t="n"/>
      <c r="M2" s="1524" t="n"/>
      <c r="N2" s="1524" t="n"/>
    </row>
    <row hidden="false" ht="15.75" outlineLevel="0" r="3">
      <c r="A3" s="93" t="n"/>
      <c r="B3" s="1524" t="n"/>
      <c r="C3" s="1524" t="n"/>
      <c r="D3" s="1524" t="n"/>
      <c r="E3" s="1524" t="n"/>
      <c r="F3" s="1524" t="n"/>
      <c r="G3" s="93" t="n"/>
      <c r="H3" s="1524" t="n"/>
      <c r="I3" s="105" t="s">
        <v>176</v>
      </c>
      <c r="J3" s="1524" t="n"/>
      <c r="K3" s="1524" t="n"/>
      <c r="L3" s="1524" t="n"/>
      <c r="M3" s="1524" t="n"/>
      <c r="N3" s="1524" t="n"/>
    </row>
    <row hidden="false" ht="15.75" outlineLevel="0" r="4">
      <c r="A4" s="93" t="n"/>
      <c r="B4" s="1524" t="n"/>
      <c r="C4" s="1524" t="n"/>
      <c r="D4" s="1524" t="n"/>
      <c r="E4" s="1524" t="n"/>
      <c r="F4" s="1524" t="n"/>
      <c r="G4" s="93" t="n"/>
      <c r="H4" s="1524" t="n"/>
      <c r="I4" s="101" t="s">
        <v>226</v>
      </c>
      <c r="J4" s="1524" t="n"/>
      <c r="K4" s="1524" t="n"/>
      <c r="L4" s="1524" t="n"/>
      <c r="M4" s="1524" t="n"/>
      <c r="N4" s="1524" t="n"/>
    </row>
    <row hidden="false" ht="15.75" outlineLevel="0" r="5">
      <c r="A5" s="93" t="n"/>
      <c r="B5" s="1524" t="n"/>
      <c r="C5" s="1524" t="n"/>
      <c r="D5" s="1524" t="n"/>
      <c r="E5" s="1524" t="n"/>
      <c r="F5" s="1524" t="n"/>
      <c r="G5" s="93" t="n"/>
      <c r="H5" s="1524" t="n"/>
      <c r="I5" s="105" t="s">
        <v>178</v>
      </c>
      <c r="J5" s="1524" t="n"/>
      <c r="K5" s="1524" t="n"/>
      <c r="L5" s="1524" t="n"/>
      <c r="M5" s="1524" t="n"/>
      <c r="N5" s="1524" t="n"/>
    </row>
    <row hidden="false" ht="15.75" outlineLevel="0" r="6">
      <c r="A6" s="93" t="n"/>
      <c r="B6" s="1524" t="n"/>
      <c r="C6" s="1524" t="n"/>
      <c r="D6" s="1524" t="n"/>
      <c r="E6" s="1524" t="n"/>
      <c r="F6" s="1524" t="n"/>
      <c r="G6" s="105" t="n"/>
      <c r="H6" s="1524" t="n"/>
      <c r="I6" s="1524" t="n"/>
      <c r="J6" s="1524" t="n"/>
      <c r="K6" s="1524" t="n"/>
      <c r="L6" s="1524" t="n"/>
      <c r="M6" s="1524" t="n"/>
      <c r="N6" s="1524" t="n"/>
    </row>
    <row customHeight="true" hidden="false" ht="15.75" outlineLevel="0" r="7">
      <c r="A7" s="3306" t="s">
        <v>403</v>
      </c>
      <c r="B7" s="3306" t="s"/>
      <c r="C7" s="3306" t="s"/>
      <c r="D7" s="3306" t="s"/>
      <c r="E7" s="3306" t="s"/>
      <c r="F7" s="3306" t="s"/>
      <c r="G7" s="3306" t="s"/>
      <c r="H7" s="3306" t="s"/>
      <c r="I7" s="3306" t="s"/>
      <c r="J7" s="3306" t="s"/>
      <c r="K7" s="3306" t="s"/>
      <c r="L7" s="3306" t="s"/>
      <c r="M7" s="3306" t="s"/>
      <c r="N7" s="3306" t="s"/>
    </row>
    <row hidden="false" ht="15.75" outlineLevel="0" r="8">
      <c r="A8" s="4" t="n"/>
      <c r="B8" s="101" t="s">
        <v>232</v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</row>
    <row customHeight="true" hidden="false" ht="78" outlineLevel="0" r="9">
      <c r="A9" s="17" t="n"/>
      <c r="B9" s="129" t="s">
        <v>184</v>
      </c>
      <c r="C9" s="4084" t="s"/>
      <c r="D9" s="129" t="s">
        <v>233</v>
      </c>
      <c r="E9" s="4085" t="s"/>
      <c r="F9" s="4086" t="s"/>
      <c r="G9" s="129" t="s">
        <v>186</v>
      </c>
      <c r="H9" s="4087" t="s"/>
      <c r="I9" s="129" t="s">
        <v>187</v>
      </c>
      <c r="J9" s="4088" t="s"/>
      <c r="K9" s="4089" t="s"/>
      <c r="L9" s="129" t="s">
        <v>347</v>
      </c>
      <c r="M9" s="4090" t="s"/>
      <c r="N9" s="4091" t="s"/>
    </row>
    <row customHeight="true" hidden="false" ht="15.75" outlineLevel="0" r="10">
      <c r="A10" s="17" t="n">
        <v>1</v>
      </c>
      <c r="B10" s="32" t="s">
        <v>362</v>
      </c>
      <c r="C10" s="4092" t="s"/>
      <c r="D10" s="225" t="n">
        <f aca="false" ca="false" dt2D="false" dtr="false" t="normal">68946*1.302</f>
        <v>89767.69200000001</v>
      </c>
      <c r="E10" s="4097" t="s"/>
      <c r="F10" s="4099" t="s"/>
      <c r="G10" s="4050" t="n">
        <v>10080</v>
      </c>
      <c r="H10" s="4103" t="s"/>
      <c r="I10" s="4050" t="n">
        <f aca="false" ca="false" dt2D="false" dtr="false" t="normal">SUM(60*13)</f>
        <v>780</v>
      </c>
      <c r="J10" s="4104" t="s"/>
      <c r="K10" s="4105" t="s"/>
      <c r="L10" s="225" t="n">
        <f aca="false" ca="false" dt2D="false" dtr="false" t="normal">D10/G10*I10</f>
        <v>6946.3095</v>
      </c>
      <c r="M10" s="4108" t="s"/>
      <c r="N10" s="4110" t="s"/>
    </row>
    <row customHeight="true" hidden="false" ht="15.75" outlineLevel="0" r="11">
      <c r="A11" s="211" t="n">
        <v>2</v>
      </c>
      <c r="B11" s="32" t="s">
        <v>397</v>
      </c>
      <c r="C11" s="4116" t="s"/>
      <c r="D11" s="225" t="n">
        <f aca="false" ca="false" dt2D="false" dtr="false" t="normal">68852*1.302</f>
        <v>89645.304</v>
      </c>
      <c r="E11" s="4117" t="s"/>
      <c r="F11" s="4118" t="s"/>
      <c r="G11" s="4050" t="n">
        <v>10080</v>
      </c>
      <c r="H11" s="4119" t="s"/>
      <c r="I11" s="4050" t="n">
        <f aca="false" ca="false" dt2D="false" dtr="false" t="normal">SUM(60*14)</f>
        <v>840</v>
      </c>
      <c r="J11" s="4121" t="s"/>
      <c r="K11" s="4123" t="s"/>
      <c r="L11" s="225" t="n">
        <f aca="false" ca="false" dt2D="false" dtr="false" t="normal">D11/G11*I11</f>
        <v>7470.442000000001</v>
      </c>
      <c r="M11" s="4130" t="s"/>
      <c r="N11" s="4131" t="s"/>
    </row>
    <row customHeight="true" hidden="false" ht="15.75" outlineLevel="0" r="12">
      <c r="A12" s="124" t="n"/>
      <c r="B12" s="32" t="s">
        <v>183</v>
      </c>
      <c r="C12" s="4132" t="s"/>
      <c r="D12" s="225" t="n">
        <f aca="false" ca="false" dt2D="false" dtr="false" t="normal">SUM(D10:F11)</f>
        <v>179412.996</v>
      </c>
      <c r="E12" s="4133" t="s"/>
      <c r="F12" s="4135" t="s"/>
      <c r="G12" s="4050" t="n">
        <f aca="false" ca="false" dt2D="false" dtr="false" t="normal">SUM(G10:H11)</f>
        <v>20160</v>
      </c>
      <c r="H12" s="4143" t="s"/>
      <c r="I12" s="4050" t="n">
        <f aca="false" ca="false" dt2D="false" dtr="false" t="normal">SUM(I10:K11)</f>
        <v>1620</v>
      </c>
      <c r="J12" s="4144" t="s"/>
      <c r="K12" s="4145" t="s"/>
      <c r="L12" s="250" t="n">
        <f aca="false" ca="false" dt2D="false" dtr="false" t="normal">SUM(L10:N11)</f>
        <v>14416.751500000002</v>
      </c>
      <c r="M12" s="4147" t="s"/>
      <c r="N12" s="4149" t="s"/>
    </row>
    <row customHeight="true" hidden="false" ht="15.75" outlineLevel="0" r="13">
      <c r="A13" s="4" t="n"/>
      <c r="B13" s="188" t="n"/>
      <c r="C13" s="188" t="s"/>
      <c r="D13" s="119" t="n"/>
      <c r="E13" s="119" t="s"/>
      <c r="F13" s="119" t="s"/>
      <c r="G13" s="4156" t="n"/>
      <c r="H13" s="4156" t="s"/>
      <c r="I13" s="4156" t="n"/>
      <c r="J13" s="4156" t="s"/>
      <c r="K13" s="4156" t="s"/>
      <c r="L13" s="119" t="n"/>
      <c r="M13" s="119" t="s"/>
      <c r="N13" s="119" t="s"/>
    </row>
    <row customHeight="true" hidden="false" ht="15.75" outlineLevel="0" r="14">
      <c r="A14" s="4" t="n"/>
      <c r="B14" s="195" t="s">
        <v>198</v>
      </c>
      <c r="C14" s="195" t="s"/>
      <c r="D14" s="195" t="s"/>
      <c r="E14" s="195" t="s"/>
      <c r="F14" s="195" t="s"/>
      <c r="G14" s="119" t="n"/>
      <c r="H14" s="119" t="s"/>
      <c r="I14" s="119" t="n"/>
      <c r="J14" s="119" t="s"/>
      <c r="K14" s="119" t="s"/>
      <c r="L14" s="119" t="n"/>
      <c r="M14" s="119" t="s"/>
      <c r="N14" s="119" t="s"/>
    </row>
    <row customHeight="true" hidden="false" ht="15.75" outlineLevel="0" r="15">
      <c r="A15" s="275" t="n"/>
      <c r="B15" s="129" t="s">
        <v>200</v>
      </c>
      <c r="C15" s="4165" t="s"/>
      <c r="D15" s="129" t="s">
        <v>201</v>
      </c>
      <c r="E15" s="4166" t="s"/>
      <c r="F15" s="4167" t="s"/>
      <c r="G15" s="129" t="s">
        <v>202</v>
      </c>
      <c r="H15" s="4169" t="s"/>
      <c r="I15" s="129" t="s">
        <v>203</v>
      </c>
      <c r="J15" s="4173" t="s"/>
      <c r="K15" s="4175" t="s"/>
      <c r="L15" s="129" t="s">
        <v>349</v>
      </c>
      <c r="M15" s="4179" t="s"/>
      <c r="N15" s="4180" t="s"/>
    </row>
    <row customHeight="true" hidden="false" ht="15.75" outlineLevel="0" r="16">
      <c r="A16" s="17" t="n">
        <v>1</v>
      </c>
      <c r="B16" s="32" t="s">
        <v>350</v>
      </c>
      <c r="C16" s="4181" t="s"/>
      <c r="D16" s="95" t="s">
        <v>342</v>
      </c>
      <c r="E16" s="4182" t="s"/>
      <c r="F16" s="4183" t="s"/>
      <c r="G16" s="95" t="n">
        <f aca="false" ca="false" dt2D="false" dtr="false" t="normal">3*14</f>
        <v>42</v>
      </c>
      <c r="H16" s="4188" t="s"/>
      <c r="I16" s="3568" t="n">
        <v>72.06</v>
      </c>
      <c r="J16" s="4193" t="s"/>
      <c r="K16" s="4194" t="s"/>
      <c r="L16" s="225" t="n">
        <f aca="false" ca="false" dt2D="false" dtr="false" t="normal">G16*I16</f>
        <v>3026.52</v>
      </c>
      <c r="M16" s="4195" t="s"/>
      <c r="N16" s="4196" t="s"/>
    </row>
    <row customHeight="true" hidden="false" ht="15.75" outlineLevel="0" r="17">
      <c r="A17" s="17" t="n">
        <v>2</v>
      </c>
      <c r="B17" s="32" t="s">
        <v>351</v>
      </c>
      <c r="C17" s="4199" t="s"/>
      <c r="D17" s="95" t="s">
        <v>342</v>
      </c>
      <c r="E17" s="4203" t="s"/>
      <c r="F17" s="4205" t="s"/>
      <c r="G17" s="95" t="n">
        <f aca="false" ca="false" dt2D="false" dtr="false" t="normal">G16*0.05*1</f>
        <v>2.1</v>
      </c>
      <c r="H17" s="4208" t="s"/>
      <c r="I17" s="95" t="n">
        <v>400</v>
      </c>
      <c r="J17" s="4209" t="s"/>
      <c r="K17" s="4210" t="s"/>
      <c r="L17" s="225" t="n">
        <f aca="false" ca="false" dt2D="false" dtr="false" t="normal">G17*I17</f>
        <v>840</v>
      </c>
      <c r="M17" s="4211" t="s"/>
      <c r="N17" s="4212" t="s"/>
    </row>
    <row customHeight="true" hidden="false" ht="15.75" outlineLevel="0" r="18">
      <c r="A18" s="124" t="n"/>
      <c r="B18" s="32" t="s">
        <v>183</v>
      </c>
      <c r="C18" s="4218" t="s"/>
      <c r="D18" s="95" t="n"/>
      <c r="E18" s="4222" t="s"/>
      <c r="F18" s="4223" t="s"/>
      <c r="G18" s="95" t="n"/>
      <c r="H18" s="4224" t="s"/>
      <c r="I18" s="95" t="n"/>
      <c r="J18" s="4225" t="s"/>
      <c r="K18" s="4226" t="s"/>
      <c r="L18" s="250" t="n">
        <f aca="false" ca="false" dt2D="false" dtr="false" t="normal">SUM(L16:N17)</f>
        <v>3866.52</v>
      </c>
      <c r="M18" s="4227" t="s"/>
      <c r="N18" s="4229" t="s"/>
    </row>
    <row hidden="false" ht="15.75" outlineLevel="0" r="19">
      <c r="A19" s="4" t="n"/>
      <c r="B19" s="119" t="n"/>
      <c r="C19" s="119" t="n"/>
      <c r="D19" s="119" t="n"/>
      <c r="E19" s="119" t="n"/>
      <c r="F19" s="119" t="n"/>
      <c r="G19" s="119" t="n"/>
      <c r="H19" s="119" t="n"/>
      <c r="I19" s="119" t="n"/>
      <c r="J19" s="119" t="n"/>
      <c r="K19" s="119" t="n"/>
      <c r="L19" s="253" t="n"/>
      <c r="M19" s="253" t="n"/>
      <c r="N19" s="253" t="n"/>
    </row>
    <row customHeight="true" hidden="false" ht="15" outlineLevel="0" r="20">
      <c r="A20" s="4" t="n"/>
      <c r="B20" s="105" t="s">
        <v>212</v>
      </c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</row>
    <row customHeight="true" hidden="false" ht="103.5" outlineLevel="0" r="21">
      <c r="A21" s="17" t="n"/>
      <c r="B21" s="129" t="s">
        <v>213</v>
      </c>
      <c r="C21" s="4237" t="s"/>
      <c r="D21" s="129" t="s">
        <v>214</v>
      </c>
      <c r="E21" s="4240" t="s"/>
      <c r="F21" s="4244" t="s"/>
      <c r="G21" s="259" t="s">
        <v>215</v>
      </c>
      <c r="H21" s="3183" t="s">
        <v>216</v>
      </c>
      <c r="I21" s="4248" t="s"/>
      <c r="J21" s="129" t="s">
        <v>217</v>
      </c>
      <c r="K21" s="4249" t="s"/>
      <c r="L21" s="4250" t="s"/>
      <c r="M21" s="129" t="s">
        <v>218</v>
      </c>
      <c r="N21" s="4253" t="s"/>
    </row>
    <row customHeight="true" hidden="false" ht="15.75" outlineLevel="0" r="22">
      <c r="A22" s="17" t="n">
        <v>1</v>
      </c>
      <c r="B22" s="32" t="s">
        <v>399</v>
      </c>
      <c r="C22" s="4260" t="s"/>
      <c r="D22" s="106" t="n">
        <v>4690000</v>
      </c>
      <c r="E22" s="4261" t="s"/>
      <c r="F22" s="4262" t="s"/>
      <c r="G22" s="98" t="n">
        <v>0.1</v>
      </c>
      <c r="H22" s="99" t="n">
        <f aca="false" ca="false" dt2D="false" dtr="false" t="normal">12*20*4</f>
        <v>960</v>
      </c>
      <c r="I22" s="4265" t="s"/>
      <c r="J22" s="95" t="n">
        <f aca="false" ca="false" dt2D="false" dtr="false" t="normal">SUM(2.5*8)</f>
        <v>20</v>
      </c>
      <c r="K22" s="4272" t="s"/>
      <c r="L22" s="4273" t="s"/>
      <c r="M22" s="106" t="n">
        <f aca="false" ca="false" dt2D="false" dtr="false" t="normal">SUM(D22*G22)/H22*J22</f>
        <v>9770.833333333334</v>
      </c>
      <c r="N22" s="4274" t="s"/>
    </row>
    <row customHeight="true" hidden="false" ht="15.75" outlineLevel="0" r="23">
      <c r="A23" s="124" t="n"/>
      <c r="B23" s="32" t="s">
        <v>183</v>
      </c>
      <c r="C23" s="4280" t="s"/>
      <c r="D23" s="95" t="n"/>
      <c r="E23" s="4284" t="s"/>
      <c r="F23" s="4285" t="s"/>
      <c r="G23" s="3204" t="n"/>
      <c r="H23" s="3668" t="n"/>
      <c r="I23" s="4286" t="s"/>
      <c r="J23" s="95" t="n"/>
      <c r="K23" s="4287" t="s"/>
      <c r="L23" s="4288" t="s"/>
      <c r="M23" s="4057" t="n">
        <f aca="false" ca="false" dt2D="false" dtr="false" t="normal">SUM(M22:N22)</f>
        <v>9770.833333333334</v>
      </c>
      <c r="N23" s="4291" t="s"/>
    </row>
    <row hidden="false" ht="12.75" outlineLevel="0" r="24">
      <c r="A24" s="93" t="n"/>
      <c r="B24" s="3348" t="n"/>
      <c r="C24" s="3348" t="n"/>
      <c r="D24" s="3348" t="n"/>
      <c r="E24" s="3348" t="n"/>
      <c r="F24" s="3348" t="n"/>
      <c r="G24" s="3348" t="n"/>
      <c r="H24" s="3348" t="n"/>
      <c r="I24" s="3348" t="n"/>
      <c r="J24" s="3348" t="n"/>
      <c r="K24" s="3348" t="n"/>
      <c r="L24" s="3684" t="n"/>
      <c r="M24" s="3684" t="n"/>
      <c r="N24" s="3684" t="n"/>
    </row>
    <row hidden="false" ht="15.75" outlineLevel="0" r="25">
      <c r="A25" s="4" t="n"/>
      <c r="B25" s="101" t="s">
        <v>219</v>
      </c>
      <c r="C25" s="119" t="n"/>
      <c r="D25" s="119" t="n"/>
      <c r="E25" s="119" t="n"/>
      <c r="F25" s="119" t="n"/>
      <c r="G25" s="119" t="n"/>
      <c r="H25" s="119" t="n"/>
      <c r="I25" s="119" t="n"/>
      <c r="J25" s="4" t="n"/>
      <c r="K25" s="4" t="n"/>
      <c r="L25" s="93" t="n"/>
      <c r="M25" s="93" t="n"/>
      <c r="N25" s="93" t="n"/>
    </row>
    <row customHeight="true" hidden="false" ht="15.75" outlineLevel="0" r="26">
      <c r="A26" s="20" t="n"/>
      <c r="B26" s="266" t="s">
        <v>220</v>
      </c>
      <c r="C26" s="4068" t="s"/>
      <c r="D26" s="4069" t="s"/>
      <c r="E26" s="4070" t="s"/>
      <c r="F26" s="4071" t="s"/>
      <c r="G26" s="4072" t="s"/>
      <c r="H26" s="4073" t="s"/>
      <c r="I26" s="4074" t="s"/>
      <c r="J26" s="4075" t="s"/>
      <c r="K26" s="20" t="s">
        <v>270</v>
      </c>
      <c r="L26" s="93" t="n"/>
      <c r="M26" s="93" t="n"/>
      <c r="N26" s="93" t="n"/>
    </row>
    <row customHeight="true" hidden="false" ht="15.75" outlineLevel="0" r="27">
      <c r="A27" s="17" t="n">
        <v>1</v>
      </c>
      <c r="B27" s="276" t="s">
        <v>222</v>
      </c>
      <c r="C27" s="4076" t="s"/>
      <c r="D27" s="4077" t="s"/>
      <c r="E27" s="4078" t="s"/>
      <c r="F27" s="4079" t="s"/>
      <c r="G27" s="4080" t="s"/>
      <c r="H27" s="4081" t="s"/>
      <c r="I27" s="4082" t="s"/>
      <c r="J27" s="4083" t="s"/>
      <c r="K27" s="285" t="n">
        <f aca="false" ca="false" dt2D="false" dtr="false" t="normal">SUM(K28:K29)</f>
        <v>102227.7696936147</v>
      </c>
      <c r="L27" s="93" t="n"/>
      <c r="N27" s="93" t="n"/>
    </row>
    <row customHeight="true" hidden="false" ht="31.5" outlineLevel="0" r="28">
      <c r="A28" s="17" t="n"/>
      <c r="B28" s="144" t="s">
        <v>223</v>
      </c>
      <c r="C28" s="4093" t="s"/>
      <c r="D28" s="4094" t="s"/>
      <c r="E28" s="4095" t="s"/>
      <c r="F28" s="4096" t="s"/>
      <c r="G28" s="4098" t="s"/>
      <c r="H28" s="4100" t="s"/>
      <c r="I28" s="4101" t="s"/>
      <c r="J28" s="4102" t="s"/>
      <c r="K28" s="285" t="n">
        <f aca="false" ca="false" dt2D="false" dtr="false" t="normal">(15990207-D12)*1.302/218</f>
        <v>94429.60455600002</v>
      </c>
      <c r="L28" s="93" t="n"/>
      <c r="N28" s="93" t="n"/>
    </row>
    <row customHeight="true" hidden="false" ht="32.25" outlineLevel="0" r="29">
      <c r="A29" s="17" t="n"/>
      <c r="B29" s="144" t="s">
        <v>224</v>
      </c>
      <c r="C29" s="4106" t="s"/>
      <c r="D29" s="4107" t="s"/>
      <c r="E29" s="4109" t="s"/>
      <c r="F29" s="4111" t="s"/>
      <c r="G29" s="4112" t="s"/>
      <c r="H29" s="4113" t="s"/>
      <c r="I29" s="4114" t="s"/>
      <c r="J29" s="4115" t="s"/>
      <c r="K29" s="285" t="n">
        <f aca="false" ca="false" dt2D="false" dtr="false" t="normal">(200000+1500000)/218</f>
        <v>7798.165137614679</v>
      </c>
      <c r="L29" s="93" t="n"/>
      <c r="N29" s="93" t="n"/>
    </row>
    <row customHeight="true" hidden="false" ht="15.75" outlineLevel="0" r="30">
      <c r="A30" s="17" t="n">
        <v>2</v>
      </c>
      <c r="B30" s="144" t="s">
        <v>225</v>
      </c>
      <c r="C30" s="4120" t="s"/>
      <c r="D30" s="4122" t="s"/>
      <c r="E30" s="4124" t="s"/>
      <c r="F30" s="4125" t="s"/>
      <c r="G30" s="4126" t="s"/>
      <c r="H30" s="4127" t="s"/>
      <c r="I30" s="4128" t="s"/>
      <c r="J30" s="4129" t="s"/>
      <c r="K30" s="285" t="n">
        <f aca="false" ca="false" dt2D="false" dtr="false" t="normal">SUM(K31:K32)</f>
        <v>68104.96788990825</v>
      </c>
      <c r="L30" s="93" t="n"/>
      <c r="N30" s="93" t="n"/>
    </row>
    <row customHeight="true" hidden="false" ht="15.75" outlineLevel="0" r="31">
      <c r="A31" s="17" t="n"/>
      <c r="B31" s="310" t="s">
        <v>227</v>
      </c>
      <c r="C31" s="4134" t="s"/>
      <c r="D31" s="4136" t="s"/>
      <c r="E31" s="4137" t="s"/>
      <c r="F31" s="4138" t="s"/>
      <c r="G31" s="4139" t="s"/>
      <c r="H31" s="4140" t="s"/>
      <c r="I31" s="4141" t="s"/>
      <c r="J31" s="4142" t="s"/>
      <c r="K31" s="285" t="n">
        <f aca="false" ca="false" dt2D="false" dtr="false" t="normal">2000000/218</f>
        <v>9174.311926605504</v>
      </c>
      <c r="L31" s="93" t="n"/>
      <c r="N31" s="93" t="n"/>
    </row>
    <row customHeight="true" hidden="false" ht="15.75" outlineLevel="0" r="32">
      <c r="A32" s="17" t="n"/>
      <c r="B32" s="310" t="s">
        <v>228</v>
      </c>
      <c r="C32" s="4146" t="s"/>
      <c r="D32" s="4148" t="s"/>
      <c r="E32" s="4150" t="s"/>
      <c r="F32" s="4151" t="s"/>
      <c r="G32" s="4152" t="s"/>
      <c r="H32" s="4153" t="s"/>
      <c r="I32" s="4154" t="s"/>
      <c r="J32" s="4155" t="s"/>
      <c r="K32" s="285" t="n">
        <f aca="false" ca="false" dt2D="false" dtr="false" t="normal">(8246883+3800000+800000)/218</f>
        <v>58930.65596330275</v>
      </c>
      <c r="L32" s="93" t="n"/>
      <c r="N32" s="93" t="n"/>
    </row>
    <row customHeight="true" hidden="false" ht="15.75" outlineLevel="0" r="33">
      <c r="A33" s="17" t="n">
        <v>3</v>
      </c>
      <c r="B33" s="144" t="s">
        <v>230</v>
      </c>
      <c r="C33" s="4157" t="s"/>
      <c r="D33" s="4158" t="s"/>
      <c r="E33" s="4159" t="s"/>
      <c r="F33" s="4160" t="s"/>
      <c r="G33" s="4161" t="s"/>
      <c r="H33" s="4162" t="s"/>
      <c r="I33" s="4163" t="s"/>
      <c r="J33" s="4164" t="s"/>
      <c r="K33" s="285" t="n">
        <f aca="false" ca="false" dt2D="false" dtr="false" t="normal">SUM(M23)</f>
        <v>9770.833333333334</v>
      </c>
      <c r="L33" s="93" t="n"/>
      <c r="N33" s="93" t="n"/>
    </row>
    <row customHeight="true" hidden="false" ht="15.75" outlineLevel="0" r="34">
      <c r="A34" s="17" t="n"/>
      <c r="B34" s="276" t="s">
        <v>183</v>
      </c>
      <c r="C34" s="4168" t="s"/>
      <c r="D34" s="4170" t="s"/>
      <c r="E34" s="4171" t="s"/>
      <c r="F34" s="4172" t="s"/>
      <c r="G34" s="4174" t="s"/>
      <c r="H34" s="4176" t="s"/>
      <c r="I34" s="4177" t="s"/>
      <c r="J34" s="4178" t="s"/>
      <c r="K34" s="285" t="n">
        <f aca="false" ca="false" dt2D="false" dtr="false" t="normal">K30+K33</f>
        <v>77875.80122324158</v>
      </c>
      <c r="L34" s="93" t="n"/>
      <c r="M34" s="93" t="n"/>
      <c r="N34" s="93" t="n"/>
    </row>
    <row customHeight="true" hidden="false" ht="15.75" outlineLevel="0" r="35">
      <c r="A35" s="17" t="n">
        <v>4</v>
      </c>
      <c r="B35" s="144" t="s">
        <v>231</v>
      </c>
      <c r="C35" s="4184" t="s"/>
      <c r="D35" s="4185" t="s"/>
      <c r="E35" s="4186" t="s"/>
      <c r="F35" s="4187" t="s"/>
      <c r="G35" s="4189" t="s"/>
      <c r="H35" s="4190" t="s"/>
      <c r="I35" s="4191" t="s"/>
      <c r="J35" s="4192" t="s"/>
      <c r="K35" s="285" t="n">
        <f aca="false" ca="false" dt2D="false" dtr="false" t="normal">SUM(D12)</f>
        <v>179412.996</v>
      </c>
      <c r="L35" s="93" t="n"/>
      <c r="M35" s="93" t="n"/>
      <c r="N35" s="93" t="n"/>
    </row>
    <row customHeight="true" hidden="false" ht="15.75" outlineLevel="0" r="36">
      <c r="A36" s="17" t="n">
        <v>5</v>
      </c>
      <c r="B36" s="276" t="s">
        <v>234</v>
      </c>
      <c r="C36" s="4197" t="s"/>
      <c r="D36" s="4198" t="s"/>
      <c r="E36" s="4200" t="s"/>
      <c r="F36" s="4201" t="s"/>
      <c r="G36" s="4202" t="s"/>
      <c r="H36" s="4204" t="s"/>
      <c r="I36" s="4206" t="s"/>
      <c r="J36" s="4207" t="s"/>
      <c r="K36" s="285" t="n">
        <f aca="false" ca="false" dt2D="false" dtr="false" t="normal">(K27+K30+K33)/K35</f>
        <v>1.0038490796779085</v>
      </c>
      <c r="L36" s="93" t="n"/>
      <c r="M36" s="93" t="n"/>
      <c r="N36" s="93" t="n"/>
    </row>
    <row customHeight="true" hidden="false" ht="15.75" outlineLevel="0" r="37">
      <c r="A37" s="17" t="n">
        <f aca="false" ca="false" dt2D="false" dtr="false" t="normal">SUM(A36+1)</f>
        <v>6</v>
      </c>
      <c r="B37" s="144" t="s">
        <v>235</v>
      </c>
      <c r="C37" s="4213" t="s"/>
      <c r="D37" s="4214" t="s"/>
      <c r="E37" s="4215" t="s"/>
      <c r="F37" s="4216" t="s"/>
      <c r="G37" s="4217" t="s"/>
      <c r="H37" s="4219" t="s"/>
      <c r="I37" s="4220" t="s"/>
      <c r="J37" s="4221" t="s"/>
      <c r="K37" s="285" t="n">
        <f aca="false" ca="false" dt2D="false" dtr="false" t="normal">SUM(L12+L18+M23)</f>
        <v>28054.10483333334</v>
      </c>
      <c r="L37" s="93" t="n"/>
      <c r="M37" s="93" t="n"/>
      <c r="N37" s="93" t="n"/>
    </row>
    <row customHeight="true" hidden="false" ht="15.75" outlineLevel="0" r="38">
      <c r="A38" s="3558" t="n">
        <v>7</v>
      </c>
      <c r="B38" s="276" t="s">
        <v>236</v>
      </c>
      <c r="C38" s="4228" t="s"/>
      <c r="D38" s="4230" t="s"/>
      <c r="E38" s="4231" t="s"/>
      <c r="F38" s="4232" t="s"/>
      <c r="G38" s="4233" t="s"/>
      <c r="H38" s="4234" t="s"/>
      <c r="I38" s="4235" t="s"/>
      <c r="J38" s="4236" t="s"/>
      <c r="K38" s="395" t="n">
        <f aca="false" ca="false" dt2D="false" dtr="false" t="normal">SUM(K37*K36)</f>
        <v>28162.087318129237</v>
      </c>
      <c r="L38" s="93" t="n"/>
      <c r="M38" s="93" t="n"/>
      <c r="N38" s="93" t="n"/>
    </row>
    <row customHeight="true" hidden="false" ht="15.75" outlineLevel="0" r="39">
      <c r="A39" s="3576" t="n"/>
      <c r="L39" s="93" t="n"/>
      <c r="M39" s="93" t="n"/>
      <c r="N39" s="93" t="n"/>
    </row>
    <row customHeight="true" hidden="false" ht="31.5" outlineLevel="0" r="40">
      <c r="A40" s="403" t="s">
        <v>404</v>
      </c>
      <c r="B40" s="403" t="s"/>
      <c r="C40" s="403" t="s"/>
      <c r="D40" s="403" t="s"/>
      <c r="E40" s="403" t="s"/>
      <c r="F40" s="403" t="s"/>
      <c r="G40" s="403" t="s"/>
      <c r="H40" s="403" t="s"/>
      <c r="I40" s="403" t="s"/>
      <c r="J40" s="403" t="s"/>
      <c r="K40" s="403" t="s"/>
      <c r="L40" s="93" t="n"/>
      <c r="M40" s="93" t="n"/>
      <c r="N40" s="93" t="n"/>
    </row>
    <row customHeight="true" hidden="false" ht="51" outlineLevel="0" r="41">
      <c r="A41" s="169" t="s">
        <v>239</v>
      </c>
      <c r="B41" s="169" t="s">
        <v>240</v>
      </c>
      <c r="C41" s="4238" t="s"/>
      <c r="D41" s="4239" t="s"/>
      <c r="E41" s="4241" t="s"/>
      <c r="F41" s="4242" t="s"/>
      <c r="G41" s="4243" t="s"/>
      <c r="H41" s="4245" t="s"/>
      <c r="I41" s="4246" t="s"/>
      <c r="J41" s="4247" t="s"/>
      <c r="K41" s="169" t="s">
        <v>241</v>
      </c>
      <c r="L41" s="93" t="n"/>
      <c r="M41" s="93" t="n"/>
      <c r="N41" s="93" t="n"/>
    </row>
    <row customHeight="true" hidden="false" ht="15.75" outlineLevel="0" r="42">
      <c r="A42" s="67" t="n">
        <v>1</v>
      </c>
      <c r="B42" s="177" t="s">
        <v>242</v>
      </c>
      <c r="C42" s="4251" t="s"/>
      <c r="D42" s="4252" t="s"/>
      <c r="E42" s="4254" t="s"/>
      <c r="F42" s="4255" t="s"/>
      <c r="G42" s="4256" t="s"/>
      <c r="H42" s="4257" t="s"/>
      <c r="I42" s="4258" t="s"/>
      <c r="J42" s="4259" t="s"/>
      <c r="K42" s="434" t="n">
        <f aca="false" ca="false" dt2D="false" dtr="false" t="normal">SUM(L12)</f>
        <v>14416.751500000002</v>
      </c>
      <c r="L42" s="93" t="n"/>
      <c r="M42" s="93" t="n"/>
      <c r="N42" s="93" t="n"/>
    </row>
    <row customHeight="true" hidden="false" ht="15.75" outlineLevel="0" r="43">
      <c r="A43" s="67" t="n">
        <v>2</v>
      </c>
      <c r="B43" s="189" t="s">
        <v>243</v>
      </c>
      <c r="C43" s="4263" t="s"/>
      <c r="D43" s="4264" t="s"/>
      <c r="E43" s="4266" t="s"/>
      <c r="F43" s="4267" t="s"/>
      <c r="G43" s="4268" t="s"/>
      <c r="H43" s="4269" t="s"/>
      <c r="I43" s="4270" t="s"/>
      <c r="J43" s="4271" t="s"/>
      <c r="K43" s="434" t="n">
        <f aca="false" ca="false" dt2D="false" dtr="false" t="normal">SUM(L18)</f>
        <v>3866.52</v>
      </c>
      <c r="L43" s="93" t="n"/>
      <c r="M43" s="93" t="n"/>
      <c r="N43" s="93" t="n"/>
    </row>
    <row customHeight="true" hidden="false" ht="33" outlineLevel="0" r="44">
      <c r="A44" s="67" t="n">
        <v>3</v>
      </c>
      <c r="B44" s="177" t="s">
        <v>244</v>
      </c>
      <c r="C44" s="4275" t="s"/>
      <c r="D44" s="4276" t="s"/>
      <c r="E44" s="4277" t="s"/>
      <c r="F44" s="4278" t="s"/>
      <c r="G44" s="4279" t="s"/>
      <c r="H44" s="4281" t="s"/>
      <c r="I44" s="4282" t="s"/>
      <c r="J44" s="4283" t="s"/>
      <c r="K44" s="434" t="n">
        <f aca="false" ca="false" dt2D="false" dtr="false" t="normal">SUM(M23)</f>
        <v>9770.833333333334</v>
      </c>
      <c r="L44" s="93" t="n"/>
      <c r="M44" s="93" t="n"/>
      <c r="N44" s="93" t="n"/>
    </row>
    <row customHeight="true" hidden="false" ht="15.75" outlineLevel="0" r="45">
      <c r="A45" s="67" t="n">
        <v>4</v>
      </c>
      <c r="B45" s="177" t="s">
        <v>245</v>
      </c>
      <c r="C45" s="4289" t="s"/>
      <c r="D45" s="4290" t="s"/>
      <c r="E45" s="4292" t="s"/>
      <c r="F45" s="4293" t="s"/>
      <c r="G45" s="4294" t="s"/>
      <c r="H45" s="4295" t="s"/>
      <c r="I45" s="4296" t="s"/>
      <c r="J45" s="4297" t="s"/>
      <c r="K45" s="434" t="n">
        <f aca="false" ca="false" dt2D="false" dtr="false" t="normal">SUM(K38)</f>
        <v>28162.087318129237</v>
      </c>
      <c r="L45" s="93" t="n"/>
      <c r="M45" s="93" t="n"/>
      <c r="N45" s="93" t="n"/>
    </row>
    <row customHeight="true" hidden="false" ht="15.75" outlineLevel="0" r="46">
      <c r="A46" s="67" t="n">
        <v>5</v>
      </c>
      <c r="B46" s="189" t="s">
        <v>247</v>
      </c>
      <c r="C46" s="4298" t="s"/>
      <c r="D46" s="4299" t="s"/>
      <c r="E46" s="4300" t="s"/>
      <c r="F46" s="4301" t="s"/>
      <c r="G46" s="4302" t="s"/>
      <c r="H46" s="4304" t="s"/>
      <c r="I46" s="4306" t="s"/>
      <c r="J46" s="4308" t="s"/>
      <c r="K46" s="434" t="n">
        <f aca="false" ca="false" dt2D="false" dtr="false" t="normal">SUM(K42:K45)</f>
        <v>56216.19215146257</v>
      </c>
      <c r="L46" s="93" t="n"/>
      <c r="M46" s="93" t="n"/>
      <c r="N46" s="93" t="n"/>
    </row>
    <row customHeight="true" hidden="false" ht="15.75" outlineLevel="0" r="47">
      <c r="A47" s="3672" t="n">
        <v>6</v>
      </c>
      <c r="B47" s="3673" t="s">
        <v>208</v>
      </c>
      <c r="C47" s="4303" t="s"/>
      <c r="D47" s="4305" t="s"/>
      <c r="E47" s="4307" t="s"/>
      <c r="F47" s="4309" t="s"/>
      <c r="G47" s="4310" t="s"/>
      <c r="H47" s="4311" t="s"/>
      <c r="I47" s="4312" t="s"/>
      <c r="J47" s="4313" t="s"/>
      <c r="K47" s="3683" t="n">
        <f aca="false" ca="false" dt2D="false" dtr="false" t="normal">SUM(K46*0.22)</f>
        <v>12367.562273321766</v>
      </c>
      <c r="L47" s="93" t="n"/>
      <c r="M47" s="93" t="n"/>
      <c r="N47" s="93" t="n"/>
    </row>
    <row customHeight="true" hidden="false" ht="15.75" outlineLevel="0" r="48">
      <c r="A48" s="67" t="n"/>
      <c r="B48" s="177" t="s">
        <v>400</v>
      </c>
      <c r="C48" s="4314" t="s"/>
      <c r="D48" s="4315" t="s"/>
      <c r="E48" s="4316" t="s"/>
      <c r="F48" s="4317" t="s"/>
      <c r="G48" s="4318" t="s"/>
      <c r="H48" s="4319" t="s"/>
      <c r="I48" s="4320" t="s"/>
      <c r="J48" s="4321" t="s"/>
      <c r="K48" s="616" t="n">
        <f aca="false" ca="false" dt2D="false" dtr="false" t="normal">SUM(K46+K47)-84</f>
        <v>68499.75442478433</v>
      </c>
      <c r="L48" s="93" t="n"/>
      <c r="M48" s="93" t="n">
        <v>63800</v>
      </c>
      <c r="N48" s="93" t="n">
        <f aca="false" ca="false" dt2D="false" dtr="false" t="normal">SUM(K48/M48)</f>
        <v>1.0736638624574346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88">
    <mergeCell ref="B1:N1"/>
    <mergeCell ref="A7:N7"/>
    <mergeCell ref="B9:C9"/>
    <mergeCell ref="G9:H9"/>
    <mergeCell ref="B11:C11"/>
    <mergeCell ref="D11:F11"/>
    <mergeCell ref="G11:H11"/>
    <mergeCell ref="B12:C12"/>
    <mergeCell ref="D12:F12"/>
    <mergeCell ref="G12:H12"/>
    <mergeCell ref="I11:K11"/>
    <mergeCell ref="L11:N11"/>
    <mergeCell ref="I12:K12"/>
    <mergeCell ref="L12:N12"/>
    <mergeCell ref="D9:F9"/>
    <mergeCell ref="B10:C10"/>
    <mergeCell ref="D10:F10"/>
    <mergeCell ref="I9:K9"/>
    <mergeCell ref="L9:N9"/>
    <mergeCell ref="I10:K10"/>
    <mergeCell ref="L10:N10"/>
    <mergeCell ref="G10:H10"/>
    <mergeCell ref="B13:C13"/>
    <mergeCell ref="D13:F13"/>
    <mergeCell ref="G13:H13"/>
    <mergeCell ref="I13:K13"/>
    <mergeCell ref="L13:N13"/>
    <mergeCell ref="B14:F14"/>
    <mergeCell ref="G14:H14"/>
    <mergeCell ref="I14:K14"/>
    <mergeCell ref="L14:N14"/>
    <mergeCell ref="B15:C15"/>
    <mergeCell ref="D15:F15"/>
    <mergeCell ref="G15:H15"/>
    <mergeCell ref="I15:K15"/>
    <mergeCell ref="L15:N15"/>
    <mergeCell ref="B16:C16"/>
    <mergeCell ref="D16:F16"/>
    <mergeCell ref="B17:C17"/>
    <mergeCell ref="D17:F17"/>
    <mergeCell ref="G16:H16"/>
    <mergeCell ref="B18:C18"/>
    <mergeCell ref="D18:F18"/>
    <mergeCell ref="G17:H17"/>
    <mergeCell ref="G18:H18"/>
    <mergeCell ref="I16:K16"/>
    <mergeCell ref="I17:K17"/>
    <mergeCell ref="I18:K18"/>
    <mergeCell ref="L16:N16"/>
    <mergeCell ref="L17:N17"/>
    <mergeCell ref="L18:N18"/>
    <mergeCell ref="M22:N22"/>
    <mergeCell ref="M21:N21"/>
    <mergeCell ref="J21:L21"/>
    <mergeCell ref="J22:L22"/>
    <mergeCell ref="M23:N23"/>
    <mergeCell ref="J23:L23"/>
    <mergeCell ref="H21:I21"/>
    <mergeCell ref="H22:I22"/>
    <mergeCell ref="D21:F21"/>
    <mergeCell ref="B21:C21"/>
    <mergeCell ref="D22:F22"/>
    <mergeCell ref="B22:C22"/>
    <mergeCell ref="H23:I23"/>
    <mergeCell ref="D23:F23"/>
    <mergeCell ref="B23:C23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A40:K40"/>
    <mergeCell ref="B41:J41"/>
    <mergeCell ref="B42:J42"/>
    <mergeCell ref="B43:J43"/>
    <mergeCell ref="B44:J44"/>
    <mergeCell ref="B45:J45"/>
    <mergeCell ref="B46:J46"/>
    <mergeCell ref="B47:J47"/>
    <mergeCell ref="B48:J48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2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N50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1" min="11" outlineLevel="0" style="398" width="14.0875492506192"/>
    <col customWidth="true" hidden="false" max="13" min="13" outlineLevel="0" style="398" width="6.19536494812434"/>
    <col customWidth="true" hidden="false" max="14" min="14" outlineLevel="0" style="398" width="12.5288425802106"/>
  </cols>
  <sheetData>
    <row hidden="false" ht="15" outlineLevel="0" r="1">
      <c r="A1" s="93" t="n"/>
      <c r="B1" s="1524" t="n"/>
      <c r="C1" s="1524" t="s"/>
      <c r="D1" s="1524" t="s"/>
      <c r="E1" s="1524" t="s"/>
      <c r="F1" s="1524" t="s"/>
      <c r="G1" s="1524" t="s"/>
      <c r="H1" s="1524" t="s"/>
      <c r="I1" s="1524" t="s"/>
      <c r="J1" s="1524" t="s"/>
      <c r="K1" s="1524" t="s"/>
      <c r="L1" s="1524" t="s"/>
      <c r="M1" s="1524" t="s"/>
      <c r="N1" s="1524" t="s"/>
    </row>
    <row hidden="false" ht="15.75" outlineLevel="0" r="2">
      <c r="A2" s="93" t="n"/>
      <c r="B2" s="1524" t="n"/>
      <c r="C2" s="1524" t="n"/>
      <c r="D2" s="1524" t="n"/>
      <c r="E2" s="1524" t="n"/>
      <c r="F2" s="1524" t="n"/>
      <c r="G2" s="93" t="n"/>
      <c r="H2" s="1524" t="n"/>
      <c r="I2" s="101" t="s">
        <v>175</v>
      </c>
      <c r="J2" s="1524" t="n"/>
      <c r="K2" s="1524" t="n"/>
      <c r="L2" s="1524" t="n"/>
      <c r="M2" s="1524" t="n"/>
      <c r="N2" s="1524" t="n"/>
    </row>
    <row hidden="false" ht="15.75" outlineLevel="0" r="3">
      <c r="A3" s="93" t="n"/>
      <c r="B3" s="1524" t="n"/>
      <c r="C3" s="1524" t="n"/>
      <c r="D3" s="1524" t="n"/>
      <c r="E3" s="1524" t="n"/>
      <c r="F3" s="1524" t="n"/>
      <c r="G3" s="93" t="n"/>
      <c r="H3" s="1524" t="n"/>
      <c r="I3" s="105" t="s">
        <v>176</v>
      </c>
      <c r="J3" s="1524" t="n"/>
      <c r="K3" s="1524" t="n"/>
      <c r="L3" s="1524" t="n"/>
      <c r="M3" s="1524" t="n"/>
      <c r="N3" s="1524" t="n"/>
    </row>
    <row hidden="false" ht="15.75" outlineLevel="0" r="4">
      <c r="A4" s="93" t="n"/>
      <c r="B4" s="1524" t="n"/>
      <c r="C4" s="1524" t="n"/>
      <c r="D4" s="1524" t="n"/>
      <c r="E4" s="1524" t="n"/>
      <c r="F4" s="1524" t="n"/>
      <c r="G4" s="93" t="n"/>
      <c r="H4" s="1524" t="n"/>
      <c r="I4" s="101" t="s">
        <v>226</v>
      </c>
      <c r="J4" s="1524" t="n"/>
      <c r="K4" s="1524" t="n"/>
      <c r="L4" s="1524" t="n"/>
      <c r="M4" s="1524" t="n"/>
      <c r="N4" s="1524" t="n"/>
    </row>
    <row hidden="false" ht="15.75" outlineLevel="0" r="5">
      <c r="A5" s="93" t="n"/>
      <c r="B5" s="1524" t="n"/>
      <c r="C5" s="1524" t="n"/>
      <c r="D5" s="1524" t="n"/>
      <c r="E5" s="1524" t="n"/>
      <c r="F5" s="1524" t="n"/>
      <c r="G5" s="93" t="n"/>
      <c r="H5" s="1524" t="n"/>
      <c r="I5" s="105" t="s">
        <v>178</v>
      </c>
      <c r="J5" s="1524" t="n"/>
      <c r="K5" s="1524" t="n"/>
      <c r="L5" s="1524" t="n"/>
      <c r="M5" s="1524" t="n"/>
      <c r="N5" s="1524" t="n"/>
    </row>
    <row hidden="false" ht="15.75" outlineLevel="0" r="6">
      <c r="A6" s="93" t="n"/>
      <c r="B6" s="1524" t="n"/>
      <c r="C6" s="1524" t="n"/>
      <c r="D6" s="1524" t="n"/>
      <c r="E6" s="1524" t="n"/>
      <c r="F6" s="1524" t="n"/>
      <c r="G6" s="105" t="n"/>
      <c r="H6" s="1524" t="n"/>
      <c r="I6" s="1524" t="n"/>
      <c r="J6" s="1524" t="n"/>
      <c r="K6" s="1524" t="n"/>
      <c r="L6" s="1524" t="n"/>
      <c r="M6" s="1524" t="n"/>
      <c r="N6" s="1524" t="n"/>
    </row>
    <row customHeight="true" hidden="false" ht="15.75" outlineLevel="0" r="7">
      <c r="A7" s="3306" t="s">
        <v>405</v>
      </c>
      <c r="B7" s="3306" t="s"/>
      <c r="C7" s="3306" t="s"/>
      <c r="D7" s="3306" t="s"/>
      <c r="E7" s="3306" t="s"/>
      <c r="F7" s="3306" t="s"/>
      <c r="G7" s="3306" t="s"/>
      <c r="H7" s="3306" t="s"/>
      <c r="I7" s="3306" t="s"/>
      <c r="J7" s="3306" t="s"/>
      <c r="K7" s="3306" t="s"/>
      <c r="L7" s="3306" t="s"/>
      <c r="M7" s="3306" t="s"/>
      <c r="N7" s="3306" t="s"/>
    </row>
    <row hidden="false" ht="15.75" outlineLevel="0" r="8">
      <c r="A8" s="4" t="n"/>
      <c r="B8" s="101" t="s">
        <v>232</v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</row>
    <row customHeight="true" hidden="false" ht="73.5" outlineLevel="0" r="9">
      <c r="A9" s="17" t="n"/>
      <c r="B9" s="129" t="s">
        <v>184</v>
      </c>
      <c r="C9" s="4338" t="s"/>
      <c r="D9" s="129" t="s">
        <v>233</v>
      </c>
      <c r="E9" s="4339" t="s"/>
      <c r="F9" s="4340" t="s"/>
      <c r="G9" s="129" t="s">
        <v>186</v>
      </c>
      <c r="H9" s="4341" t="s"/>
      <c r="I9" s="129" t="s">
        <v>187</v>
      </c>
      <c r="J9" s="4342" t="s"/>
      <c r="K9" s="4343" t="s"/>
      <c r="L9" s="129" t="s">
        <v>347</v>
      </c>
      <c r="M9" s="4344" t="s"/>
      <c r="N9" s="4345" t="s"/>
    </row>
    <row customHeight="true" hidden="false" ht="15.75" outlineLevel="0" r="10">
      <c r="A10" s="17" t="n">
        <v>1</v>
      </c>
      <c r="B10" s="32" t="s">
        <v>362</v>
      </c>
      <c r="C10" s="4346" t="s"/>
      <c r="D10" s="225" t="n">
        <f aca="false" ca="false" dt2D="false" dtr="false" t="normal">68946*1.302</f>
        <v>89767.69200000001</v>
      </c>
      <c r="E10" s="4355" t="s"/>
      <c r="F10" s="4356" t="s"/>
      <c r="G10" s="381" t="n">
        <v>10080</v>
      </c>
      <c r="H10" s="4359" t="s"/>
      <c r="I10" s="381" t="n">
        <f aca="false" ca="false" dt2D="false" dtr="false" t="normal">SUM(60*8*2)</f>
        <v>960</v>
      </c>
      <c r="J10" s="4366" t="s"/>
      <c r="K10" s="4367" t="s"/>
      <c r="L10" s="225" t="n">
        <f aca="false" ca="false" dt2D="false" dtr="false" t="normal">D10/G10*I10</f>
        <v>8549.304</v>
      </c>
      <c r="M10" s="4374" t="s"/>
      <c r="N10" s="4377" t="s"/>
    </row>
    <row customHeight="true" hidden="false" ht="15.75" outlineLevel="0" r="11">
      <c r="A11" s="211" t="n">
        <v>2</v>
      </c>
      <c r="B11" s="32" t="s">
        <v>397</v>
      </c>
      <c r="C11" s="4378" t="s"/>
      <c r="D11" s="225" t="n">
        <f aca="false" ca="false" dt2D="false" dtr="false" t="normal">68852*1.302</f>
        <v>89645.304</v>
      </c>
      <c r="E11" s="4380" t="s"/>
      <c r="F11" s="4383" t="s"/>
      <c r="G11" s="381" t="n">
        <v>10080</v>
      </c>
      <c r="H11" s="4388" t="s"/>
      <c r="I11" s="381" t="n">
        <f aca="false" ca="false" dt2D="false" dtr="false" t="normal">SUM(60*8*2)</f>
        <v>960</v>
      </c>
      <c r="J11" s="4390" t="s"/>
      <c r="K11" s="4391" t="s"/>
      <c r="L11" s="225" t="n">
        <f aca="false" ca="false" dt2D="false" dtr="false" t="normal">D11/G11*I11</f>
        <v>8537.648000000001</v>
      </c>
      <c r="M11" s="4392" t="s"/>
      <c r="N11" s="4393" t="s"/>
    </row>
    <row customHeight="true" hidden="false" ht="15.75" outlineLevel="0" r="12">
      <c r="A12" s="124" t="n"/>
      <c r="B12" s="32" t="s">
        <v>183</v>
      </c>
      <c r="C12" s="4401" t="s"/>
      <c r="D12" s="225" t="n">
        <f aca="false" ca="false" dt2D="false" dtr="false" t="normal">SUM(D10:F11)</f>
        <v>179412.996</v>
      </c>
      <c r="E12" s="4403" t="s"/>
      <c r="F12" s="4404" t="s"/>
      <c r="G12" s="381" t="n">
        <f aca="false" ca="false" dt2D="false" dtr="false" t="normal">SUM(G10:H11)</f>
        <v>20160</v>
      </c>
      <c r="H12" s="4405" t="s"/>
      <c r="I12" s="381" t="n">
        <f aca="false" ca="false" dt2D="false" dtr="false" t="normal">SUM(I10:K11)</f>
        <v>1920</v>
      </c>
      <c r="J12" s="4413" t="s"/>
      <c r="K12" s="4415" t="s"/>
      <c r="L12" s="250" t="n">
        <f aca="false" ca="false" dt2D="false" dtr="false" t="normal">SUM(L10:N11)</f>
        <v>17086.952</v>
      </c>
      <c r="M12" s="4416" t="s"/>
      <c r="N12" s="4417" t="s"/>
    </row>
    <row customHeight="true" hidden="false" ht="15.75" outlineLevel="0" r="13">
      <c r="A13" s="4" t="n"/>
      <c r="B13" s="188" t="n"/>
      <c r="C13" s="188" t="s"/>
      <c r="D13" s="119" t="n"/>
      <c r="E13" s="119" t="s"/>
      <c r="F13" s="119" t="s"/>
      <c r="G13" s="119" t="n"/>
      <c r="H13" s="119" t="s"/>
      <c r="I13" s="119" t="n"/>
      <c r="J13" s="119" t="s"/>
      <c r="K13" s="119" t="s"/>
      <c r="L13" s="119" t="n"/>
      <c r="M13" s="119" t="s"/>
      <c r="N13" s="119" t="s"/>
    </row>
    <row customHeight="true" hidden="false" ht="15.75" outlineLevel="0" r="14">
      <c r="A14" s="4" t="n"/>
      <c r="B14" s="195" t="s">
        <v>198</v>
      </c>
      <c r="C14" s="195" t="s"/>
      <c r="D14" s="195" t="s"/>
      <c r="E14" s="195" t="s"/>
      <c r="F14" s="195" t="s"/>
      <c r="G14" s="119" t="n"/>
      <c r="H14" s="119" t="s"/>
      <c r="I14" s="119" t="n"/>
      <c r="J14" s="119" t="s"/>
      <c r="K14" s="119" t="s"/>
      <c r="L14" s="119" t="n"/>
      <c r="M14" s="119" t="s"/>
      <c r="N14" s="119" t="s"/>
    </row>
    <row customHeight="true" hidden="false" ht="30" outlineLevel="0" r="15">
      <c r="A15" s="275" t="n"/>
      <c r="B15" s="129" t="s">
        <v>200</v>
      </c>
      <c r="C15" s="4429" t="s"/>
      <c r="D15" s="129" t="s">
        <v>201</v>
      </c>
      <c r="E15" s="4433" t="s"/>
      <c r="F15" s="4435" t="s"/>
      <c r="G15" s="129" t="s">
        <v>202</v>
      </c>
      <c r="H15" s="4437" t="s"/>
      <c r="I15" s="129" t="s">
        <v>203</v>
      </c>
      <c r="J15" s="4438" t="s"/>
      <c r="K15" s="4439" t="s"/>
      <c r="L15" s="129" t="s">
        <v>349</v>
      </c>
      <c r="M15" s="4440" t="s"/>
      <c r="N15" s="4441" t="s"/>
    </row>
    <row customHeight="true" hidden="false" ht="15.75" outlineLevel="0" r="16">
      <c r="A16" s="17" t="n">
        <v>1</v>
      </c>
      <c r="B16" s="32" t="s">
        <v>350</v>
      </c>
      <c r="C16" s="4444" t="s"/>
      <c r="D16" s="95" t="s">
        <v>342</v>
      </c>
      <c r="E16" s="4448" t="s"/>
      <c r="F16" s="4452" t="s"/>
      <c r="G16" s="95" t="n">
        <f aca="false" ca="false" dt2D="false" dtr="false" t="normal">3*14</f>
        <v>42</v>
      </c>
      <c r="H16" s="4453" t="s"/>
      <c r="I16" s="3568" t="n">
        <v>72.06</v>
      </c>
      <c r="J16" s="4454" t="s"/>
      <c r="K16" s="4455" t="s"/>
      <c r="L16" s="225" t="n">
        <f aca="false" ca="false" dt2D="false" dtr="false" t="normal">G16*I16</f>
        <v>3026.52</v>
      </c>
      <c r="M16" s="4456" t="s"/>
      <c r="N16" s="4457" t="s"/>
    </row>
    <row customHeight="true" hidden="false" ht="15.75" outlineLevel="0" r="17">
      <c r="A17" s="17" t="n">
        <v>2</v>
      </c>
      <c r="B17" s="32" t="s">
        <v>351</v>
      </c>
      <c r="C17" s="4466" t="s"/>
      <c r="D17" s="95" t="s">
        <v>342</v>
      </c>
      <c r="E17" s="4467" t="s"/>
      <c r="F17" s="4468" t="s"/>
      <c r="G17" s="95" t="n">
        <f aca="false" ca="false" dt2D="false" dtr="false" t="normal">G16*0.05*1</f>
        <v>2.1</v>
      </c>
      <c r="H17" s="4469" t="s"/>
      <c r="I17" s="95" t="n">
        <v>400</v>
      </c>
      <c r="J17" s="4472" t="s"/>
      <c r="K17" s="4475" t="s"/>
      <c r="L17" s="225" t="n">
        <f aca="false" ca="false" dt2D="false" dtr="false" t="normal">G17*I17</f>
        <v>840</v>
      </c>
      <c r="M17" s="4480" t="s"/>
      <c r="N17" s="4481" t="s"/>
    </row>
    <row customHeight="true" hidden="false" ht="15.75" outlineLevel="0" r="18">
      <c r="A18" s="124" t="n"/>
      <c r="B18" s="32" t="s">
        <v>183</v>
      </c>
      <c r="C18" s="4482" t="s"/>
      <c r="D18" s="95" t="n"/>
      <c r="E18" s="4483" t="s"/>
      <c r="F18" s="4484" t="s"/>
      <c r="G18" s="95" t="n"/>
      <c r="H18" s="4485" t="s"/>
      <c r="I18" s="95" t="n"/>
      <c r="J18" s="4486" t="s"/>
      <c r="K18" s="4487" t="s"/>
      <c r="L18" s="250" t="n">
        <f aca="false" ca="false" dt2D="false" dtr="false" t="normal">SUM(L16:N17)</f>
        <v>3866.52</v>
      </c>
      <c r="M18" s="4488" t="s"/>
      <c r="N18" s="4489" t="s"/>
    </row>
    <row hidden="false" ht="15.75" outlineLevel="0" r="19">
      <c r="A19" s="4" t="n"/>
      <c r="B19" s="119" t="n"/>
      <c r="C19" s="119" t="n"/>
      <c r="D19" s="119" t="n"/>
      <c r="E19" s="119" t="n"/>
      <c r="F19" s="119" t="n"/>
      <c r="G19" s="119" t="n"/>
      <c r="H19" s="119" t="n"/>
      <c r="I19" s="119" t="n"/>
      <c r="J19" s="119" t="n"/>
      <c r="K19" s="119" t="n"/>
      <c r="L19" s="253" t="n"/>
      <c r="M19" s="253" t="n"/>
      <c r="N19" s="253" t="n"/>
    </row>
    <row hidden="false" ht="15.75" outlineLevel="0" r="20">
      <c r="A20" s="4" t="n"/>
      <c r="B20" s="105" t="s">
        <v>212</v>
      </c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</row>
    <row customHeight="true" hidden="false" ht="105" outlineLevel="0" r="21">
      <c r="A21" s="17" t="n"/>
      <c r="B21" s="129" t="s">
        <v>213</v>
      </c>
      <c r="C21" s="4506" t="s"/>
      <c r="D21" s="129" t="s">
        <v>214</v>
      </c>
      <c r="E21" s="4510" t="s"/>
      <c r="F21" s="4512" t="s"/>
      <c r="G21" s="259" t="s">
        <v>215</v>
      </c>
      <c r="H21" s="3183" t="s">
        <v>216</v>
      </c>
      <c r="I21" s="4517" t="s"/>
      <c r="J21" s="129" t="s">
        <v>217</v>
      </c>
      <c r="K21" s="4518" t="s"/>
      <c r="L21" s="4519" t="s"/>
      <c r="M21" s="129" t="s">
        <v>407</v>
      </c>
      <c r="N21" s="4520" t="s"/>
    </row>
    <row customHeight="true" hidden="false" ht="15.75" outlineLevel="0" r="22">
      <c r="A22" s="17" t="n">
        <v>1</v>
      </c>
      <c r="B22" s="32" t="s">
        <v>399</v>
      </c>
      <c r="C22" s="4526" t="s"/>
      <c r="D22" s="106" t="n">
        <v>4690000</v>
      </c>
      <c r="E22" s="4530" t="s"/>
      <c r="F22" s="4531" t="s"/>
      <c r="G22" s="98" t="n">
        <v>0.1</v>
      </c>
      <c r="H22" s="99" t="n">
        <f aca="false" ca="false" dt2D="false" dtr="false" t="normal">12*20*4</f>
        <v>960</v>
      </c>
      <c r="I22" s="4532" t="s"/>
      <c r="J22" s="95" t="n">
        <f aca="false" ca="false" dt2D="false" dtr="false" t="normal">SUM(2*8)</f>
        <v>16</v>
      </c>
      <c r="K22" s="4541" t="s"/>
      <c r="L22" s="4542" t="s"/>
      <c r="M22" s="106" t="n">
        <f aca="false" ca="false" dt2D="false" dtr="false" t="normal">SUM(D22*G22)/H22*J22</f>
        <v>7816.666666666667</v>
      </c>
      <c r="N22" s="4543" t="s"/>
    </row>
    <row customHeight="true" hidden="false" ht="15.75" outlineLevel="0" r="23">
      <c r="A23" s="124" t="n"/>
      <c r="B23" s="32" t="s">
        <v>183</v>
      </c>
      <c r="C23" s="4550" t="s"/>
      <c r="D23" s="95" t="n"/>
      <c r="E23" s="4553" t="s"/>
      <c r="F23" s="4554" t="s"/>
      <c r="G23" s="3204" t="n"/>
      <c r="H23" s="3668" t="n"/>
      <c r="I23" s="4555" t="s"/>
      <c r="J23" s="95" t="n"/>
      <c r="K23" s="4556" t="s"/>
      <c r="L23" s="4557" t="s"/>
      <c r="M23" s="4057" t="n">
        <f aca="false" ca="false" dt2D="false" dtr="false" t="normal">SUM(M22:N22)</f>
        <v>7816.666666666667</v>
      </c>
      <c r="N23" s="4560" t="s"/>
    </row>
    <row hidden="false" ht="12.75" outlineLevel="0" r="24">
      <c r="A24" s="93" t="n"/>
      <c r="B24" s="3348" t="n"/>
      <c r="C24" s="3348" t="n"/>
      <c r="D24" s="3348" t="n"/>
      <c r="E24" s="3348" t="n"/>
      <c r="F24" s="3348" t="n"/>
      <c r="G24" s="3348" t="n"/>
      <c r="H24" s="3348" t="n"/>
      <c r="I24" s="3348" t="n"/>
      <c r="J24" s="3348" t="n"/>
      <c r="K24" s="3348" t="n"/>
      <c r="L24" s="3684" t="n"/>
      <c r="M24" s="3684" t="n"/>
      <c r="N24" s="3684" t="n"/>
    </row>
    <row hidden="false" ht="15.75" outlineLevel="0" r="25">
      <c r="A25" s="4" t="n"/>
      <c r="B25" s="101" t="s">
        <v>219</v>
      </c>
      <c r="C25" s="119" t="n"/>
      <c r="D25" s="119" t="n"/>
      <c r="E25" s="119" t="n"/>
      <c r="F25" s="119" t="n"/>
      <c r="G25" s="119" t="n"/>
      <c r="H25" s="119" t="n"/>
      <c r="I25" s="119" t="n"/>
      <c r="J25" s="4" t="n"/>
      <c r="K25" s="4" t="n"/>
      <c r="L25" s="93" t="n"/>
      <c r="M25" s="93" t="n"/>
      <c r="N25" s="93" t="n"/>
    </row>
    <row customHeight="true" hidden="false" ht="15.75" outlineLevel="0" r="26">
      <c r="A26" s="20" t="n"/>
      <c r="B26" s="266" t="s">
        <v>220</v>
      </c>
      <c r="C26" s="4322" t="s"/>
      <c r="D26" s="4323" t="s"/>
      <c r="E26" s="4324" t="s"/>
      <c r="F26" s="4325" t="s"/>
      <c r="G26" s="4326" t="s"/>
      <c r="H26" s="4327" t="s"/>
      <c r="I26" s="4328" t="s"/>
      <c r="J26" s="4329" t="s"/>
      <c r="K26" s="275" t="s">
        <v>270</v>
      </c>
      <c r="L26" s="93" t="n"/>
      <c r="M26" s="93" t="n"/>
      <c r="N26" s="93" t="n"/>
    </row>
    <row customHeight="true" hidden="false" ht="15.75" outlineLevel="0" r="27">
      <c r="A27" s="17" t="n">
        <v>1</v>
      </c>
      <c r="B27" s="276" t="s">
        <v>222</v>
      </c>
      <c r="C27" s="4330" t="s"/>
      <c r="D27" s="4331" t="s"/>
      <c r="E27" s="4332" t="s"/>
      <c r="F27" s="4333" t="s"/>
      <c r="G27" s="4334" t="s"/>
      <c r="H27" s="4335" t="s"/>
      <c r="I27" s="4336" t="s"/>
      <c r="J27" s="4337" t="s"/>
      <c r="K27" s="285" t="n">
        <f aca="false" ca="false" dt2D="false" dtr="false" t="normal">SUM(K28:K29)</f>
        <v>102227.7696936147</v>
      </c>
      <c r="L27" s="93" t="n"/>
      <c r="M27" s="93" t="n"/>
    </row>
    <row customHeight="true" hidden="false" ht="29.25" outlineLevel="0" r="28">
      <c r="A28" s="17" t="n"/>
      <c r="B28" s="144" t="s">
        <v>223</v>
      </c>
      <c r="C28" s="4347" t="s"/>
      <c r="D28" s="4348" t="s"/>
      <c r="E28" s="4349" t="s"/>
      <c r="F28" s="4350" t="s"/>
      <c r="G28" s="4351" t="s"/>
      <c r="H28" s="4352" t="s"/>
      <c r="I28" s="4353" t="s"/>
      <c r="J28" s="4354" t="s"/>
      <c r="K28" s="285" t="n">
        <f aca="false" ca="false" dt2D="false" dtr="false" t="normal">(15990207-D12)*1.302/218</f>
        <v>94429.60455600002</v>
      </c>
      <c r="L28" s="93" t="n"/>
      <c r="M28" s="93" t="n"/>
    </row>
    <row customHeight="true" hidden="false" ht="30" outlineLevel="0" r="29">
      <c r="A29" s="17" t="n"/>
      <c r="B29" s="144" t="s">
        <v>224</v>
      </c>
      <c r="C29" s="4357" t="s"/>
      <c r="D29" s="4358" t="s"/>
      <c r="E29" s="4360" t="s"/>
      <c r="F29" s="4361" t="s"/>
      <c r="G29" s="4362" t="s"/>
      <c r="H29" s="4363" t="s"/>
      <c r="I29" s="4364" t="s"/>
      <c r="J29" s="4365" t="s"/>
      <c r="K29" s="285" t="n">
        <f aca="false" ca="false" dt2D="false" dtr="false" t="normal">(200000+1500000)/218</f>
        <v>7798.165137614679</v>
      </c>
      <c r="L29" s="93" t="n"/>
      <c r="M29" s="93" t="n"/>
    </row>
    <row customHeight="true" hidden="false" ht="15.75" outlineLevel="0" r="30">
      <c r="A30" s="17" t="n">
        <v>2</v>
      </c>
      <c r="B30" s="144" t="s">
        <v>225</v>
      </c>
      <c r="C30" s="4368" t="s"/>
      <c r="D30" s="4369" t="s"/>
      <c r="E30" s="4370" t="s"/>
      <c r="F30" s="4371" t="s"/>
      <c r="G30" s="4372" t="s"/>
      <c r="H30" s="4373" t="s"/>
      <c r="I30" s="4375" t="s"/>
      <c r="J30" s="4376" t="s"/>
      <c r="K30" s="285" t="n">
        <f aca="false" ca="false" dt2D="false" dtr="false" t="normal">SUM(K31:K32)</f>
        <v>5675.4139908256875</v>
      </c>
      <c r="L30" s="93" t="n"/>
      <c r="M30" s="93" t="n"/>
    </row>
    <row customHeight="true" hidden="false" ht="15.75" outlineLevel="0" r="31">
      <c r="A31" s="17" t="n"/>
      <c r="B31" s="310" t="s">
        <v>227</v>
      </c>
      <c r="C31" s="4379" t="s"/>
      <c r="D31" s="4381" t="s"/>
      <c r="E31" s="4382" t="s"/>
      <c r="F31" s="4384" t="s"/>
      <c r="G31" s="4385" t="s"/>
      <c r="H31" s="4386" t="s"/>
      <c r="I31" s="4387" t="s"/>
      <c r="J31" s="4389" t="s"/>
      <c r="K31" s="285" t="n">
        <f aca="false" ca="false" dt2D="false" dtr="false" t="normal">2000000/218/12</f>
        <v>764.525993883792</v>
      </c>
      <c r="L31" s="93" t="n"/>
      <c r="M31" s="93" t="n"/>
    </row>
    <row customHeight="true" hidden="false" ht="15.75" outlineLevel="0" r="32">
      <c r="A32" s="17" t="n"/>
      <c r="B32" s="310" t="s">
        <v>228</v>
      </c>
      <c r="C32" s="4394" t="s"/>
      <c r="D32" s="4395" t="s"/>
      <c r="E32" s="4396" t="s"/>
      <c r="F32" s="4397" t="s"/>
      <c r="G32" s="4398" t="s"/>
      <c r="H32" s="4399" t="s"/>
      <c r="I32" s="4400" t="s"/>
      <c r="J32" s="4402" t="s"/>
      <c r="K32" s="285" t="n">
        <f aca="false" ca="false" dt2D="false" dtr="false" t="normal">(8246883+3800000+800000)/218/12</f>
        <v>4910.887996941896</v>
      </c>
      <c r="L32" s="93" t="n"/>
      <c r="M32" s="93" t="n"/>
    </row>
    <row customHeight="true" hidden="false" ht="39" outlineLevel="0" r="33">
      <c r="A33" s="17" t="n">
        <v>3</v>
      </c>
      <c r="B33" s="144" t="s">
        <v>230</v>
      </c>
      <c r="C33" s="4406" t="s"/>
      <c r="D33" s="4407" t="s"/>
      <c r="E33" s="4408" t="s"/>
      <c r="F33" s="4409" t="s"/>
      <c r="G33" s="4410" t="s"/>
      <c r="H33" s="4411" t="s"/>
      <c r="I33" s="4412" t="s"/>
      <c r="J33" s="4414" t="s"/>
      <c r="K33" s="285" t="n">
        <f aca="false" ca="false" dt2D="false" dtr="false" t="normal">SUM(M23)</f>
        <v>7816.666666666667</v>
      </c>
      <c r="L33" s="93" t="n"/>
      <c r="M33" s="93" t="n"/>
    </row>
    <row customHeight="true" hidden="false" ht="15.75" outlineLevel="0" r="34">
      <c r="A34" s="17" t="n"/>
      <c r="B34" s="276" t="s">
        <v>183</v>
      </c>
      <c r="C34" s="4418" t="s"/>
      <c r="D34" s="4419" t="s"/>
      <c r="E34" s="4420" t="s"/>
      <c r="F34" s="4421" t="s"/>
      <c r="G34" s="4422" t="s"/>
      <c r="H34" s="4423" t="s"/>
      <c r="I34" s="4424" t="s"/>
      <c r="J34" s="4425" t="s"/>
      <c r="K34" s="285" t="n">
        <f aca="false" ca="false" dt2D="false" dtr="false" t="normal">K30+K33</f>
        <v>13492.080657492355</v>
      </c>
      <c r="L34" s="93" t="n"/>
      <c r="M34" s="93" t="n"/>
      <c r="N34" s="93" t="n"/>
    </row>
    <row customHeight="true" hidden="false" ht="15.75" outlineLevel="0" r="35">
      <c r="A35" s="17" t="n">
        <v>4</v>
      </c>
      <c r="B35" s="144" t="s">
        <v>231</v>
      </c>
      <c r="C35" s="4426" t="s"/>
      <c r="D35" s="4427" t="s"/>
      <c r="E35" s="4428" t="s"/>
      <c r="F35" s="4430" t="s"/>
      <c r="G35" s="4431" t="s"/>
      <c r="H35" s="4432" t="s"/>
      <c r="I35" s="4434" t="s"/>
      <c r="J35" s="4436" t="s"/>
      <c r="K35" s="285" t="n">
        <f aca="false" ca="false" dt2D="false" dtr="false" t="normal">SUM(D12)</f>
        <v>179412.996</v>
      </c>
      <c r="L35" s="93" t="n"/>
      <c r="M35" s="93" t="n"/>
      <c r="N35" s="93" t="n"/>
    </row>
    <row customHeight="true" hidden="false" ht="15.75" outlineLevel="0" r="36">
      <c r="A36" s="17" t="n">
        <v>5</v>
      </c>
      <c r="B36" s="276" t="s">
        <v>234</v>
      </c>
      <c r="C36" s="4442" t="s"/>
      <c r="D36" s="4443" t="s"/>
      <c r="E36" s="4445" t="s"/>
      <c r="F36" s="4446" t="s"/>
      <c r="G36" s="4447" t="s"/>
      <c r="H36" s="4449" t="s"/>
      <c r="I36" s="4450" t="s"/>
      <c r="J36" s="4451" t="s"/>
      <c r="K36" s="285" t="n">
        <f aca="false" ca="false" dt2D="false" dtr="false" t="normal">(K27+K30+K33)/K35</f>
        <v>0.6449914606582181</v>
      </c>
      <c r="L36" s="93" t="n"/>
      <c r="M36" s="93" t="n"/>
      <c r="N36" s="93" t="n"/>
    </row>
    <row customHeight="true" hidden="false" ht="15.75" outlineLevel="0" r="37">
      <c r="A37" s="17" t="n">
        <f aca="false" ca="false" dt2D="false" dtr="false" t="normal">SUM(A36+1)</f>
        <v>6</v>
      </c>
      <c r="B37" s="144" t="s">
        <v>235</v>
      </c>
      <c r="C37" s="4458" t="s"/>
      <c r="D37" s="4459" t="s"/>
      <c r="E37" s="4460" t="s"/>
      <c r="F37" s="4461" t="s"/>
      <c r="G37" s="4462" t="s"/>
      <c r="H37" s="4463" t="s"/>
      <c r="I37" s="4464" t="s"/>
      <c r="J37" s="4465" t="s"/>
      <c r="K37" s="285" t="n">
        <f aca="false" ca="false" dt2D="false" dtr="false" t="normal">SUM(L12+L18+M23)</f>
        <v>28770.13866666667</v>
      </c>
      <c r="L37" s="93" t="n"/>
      <c r="M37" s="93" t="n"/>
      <c r="N37" s="93" t="n"/>
    </row>
    <row customHeight="true" hidden="false" ht="15.75" outlineLevel="0" r="38">
      <c r="A38" s="3558" t="n">
        <v>7</v>
      </c>
      <c r="B38" s="276" t="s">
        <v>236</v>
      </c>
      <c r="C38" s="4470" t="s"/>
      <c r="D38" s="4471" t="s"/>
      <c r="E38" s="4473" t="s"/>
      <c r="F38" s="4474" t="s"/>
      <c r="G38" s="4476" t="s"/>
      <c r="H38" s="4477" t="s"/>
      <c r="I38" s="4478" t="s"/>
      <c r="J38" s="4479" t="s"/>
      <c r="K38" s="395" t="n">
        <f aca="false" ca="false" dt2D="false" dtr="false" t="normal">SUM(K37*K36)</f>
        <v>18556.493761952814</v>
      </c>
      <c r="L38" s="93" t="n"/>
      <c r="M38" s="93" t="n"/>
      <c r="N38" s="93" t="n"/>
    </row>
    <row hidden="false" ht="12.75" outlineLevel="0" r="39">
      <c r="A39" s="3576" t="n"/>
      <c r="L39" s="93" t="n"/>
      <c r="M39" s="93" t="n"/>
      <c r="N39" s="93" t="n"/>
    </row>
    <row customHeight="true" hidden="false" ht="39.75" outlineLevel="0" r="40">
      <c r="A40" s="403" t="s">
        <v>406</v>
      </c>
      <c r="B40" s="403" t="s"/>
      <c r="C40" s="403" t="s"/>
      <c r="D40" s="403" t="s"/>
      <c r="E40" s="403" t="s"/>
      <c r="F40" s="403" t="s"/>
      <c r="G40" s="403" t="s"/>
      <c r="H40" s="403" t="s"/>
      <c r="I40" s="403" t="s"/>
      <c r="J40" s="403" t="s"/>
      <c r="K40" s="403" t="s"/>
      <c r="L40" s="93" t="n"/>
      <c r="M40" s="93" t="n"/>
      <c r="N40" s="93" t="n"/>
    </row>
    <row customHeight="true" hidden="false" ht="31.5" outlineLevel="0" r="41">
      <c r="A41" s="169" t="s">
        <v>239</v>
      </c>
      <c r="B41" s="169" t="s">
        <v>240</v>
      </c>
      <c r="C41" s="4490" t="s"/>
      <c r="D41" s="4491" t="s"/>
      <c r="E41" s="4492" t="s"/>
      <c r="F41" s="4493" t="s"/>
      <c r="G41" s="4494" t="s"/>
      <c r="H41" s="4495" t="s"/>
      <c r="I41" s="4496" t="s"/>
      <c r="J41" s="4497" t="s"/>
      <c r="K41" s="417" t="s">
        <v>241</v>
      </c>
      <c r="L41" s="93" t="n"/>
      <c r="M41" s="93" t="n"/>
      <c r="N41" s="93" t="n"/>
    </row>
    <row customHeight="true" hidden="false" ht="15.75" outlineLevel="0" r="42">
      <c r="A42" s="67" t="n">
        <v>1</v>
      </c>
      <c r="B42" s="177" t="s">
        <v>242</v>
      </c>
      <c r="C42" s="4498" t="s"/>
      <c r="D42" s="4499" t="s"/>
      <c r="E42" s="4500" t="s"/>
      <c r="F42" s="4501" t="s"/>
      <c r="G42" s="4502" t="s"/>
      <c r="H42" s="4503" t="s"/>
      <c r="I42" s="4504" t="s"/>
      <c r="J42" s="4505" t="s"/>
      <c r="K42" s="434" t="n">
        <f aca="false" ca="false" dt2D="false" dtr="false" t="normal">SUM(L12)</f>
        <v>17086.952</v>
      </c>
      <c r="L42" s="93" t="n"/>
      <c r="M42" s="93" t="n"/>
      <c r="N42" s="93" t="n"/>
    </row>
    <row customHeight="true" hidden="false" ht="15.75" outlineLevel="0" r="43">
      <c r="A43" s="67" t="n">
        <v>2</v>
      </c>
      <c r="B43" s="189" t="s">
        <v>243</v>
      </c>
      <c r="C43" s="4507" t="s"/>
      <c r="D43" s="4508" t="s"/>
      <c r="E43" s="4509" t="s"/>
      <c r="F43" s="4511" t="s"/>
      <c r="G43" s="4513" t="s"/>
      <c r="H43" s="4514" t="s"/>
      <c r="I43" s="4515" t="s"/>
      <c r="J43" s="4516" t="s"/>
      <c r="K43" s="434" t="n">
        <f aca="false" ca="false" dt2D="false" dtr="false" t="normal">SUM(L18)</f>
        <v>3866.52</v>
      </c>
      <c r="L43" s="93" t="n"/>
      <c r="M43" s="93" t="n"/>
      <c r="N43" s="93" t="n"/>
    </row>
    <row customHeight="true" hidden="false" ht="38.25" outlineLevel="0" r="44">
      <c r="A44" s="67" t="n">
        <v>3</v>
      </c>
      <c r="B44" s="177" t="s">
        <v>244</v>
      </c>
      <c r="C44" s="4521" t="s"/>
      <c r="D44" s="4522" t="s"/>
      <c r="E44" s="4523" t="s"/>
      <c r="F44" s="4524" t="s"/>
      <c r="G44" s="4525" t="s"/>
      <c r="H44" s="4527" t="s"/>
      <c r="I44" s="4528" t="s"/>
      <c r="J44" s="4529" t="s"/>
      <c r="K44" s="434" t="n">
        <f aca="false" ca="false" dt2D="false" dtr="false" t="normal">SUM(M23)</f>
        <v>7816.666666666667</v>
      </c>
      <c r="L44" s="93" t="n"/>
      <c r="M44" s="93" t="n"/>
      <c r="N44" s="93" t="n"/>
    </row>
    <row customHeight="true" hidden="false" ht="15.75" outlineLevel="0" r="45">
      <c r="A45" s="67" t="n">
        <v>4</v>
      </c>
      <c r="B45" s="177" t="s">
        <v>245</v>
      </c>
      <c r="C45" s="4533" t="s"/>
      <c r="D45" s="4534" t="s"/>
      <c r="E45" s="4535" t="s"/>
      <c r="F45" s="4536" t="s"/>
      <c r="G45" s="4537" t="s"/>
      <c r="H45" s="4538" t="s"/>
      <c r="I45" s="4539" t="s"/>
      <c r="J45" s="4540" t="s"/>
      <c r="K45" s="434" t="n">
        <f aca="false" ca="false" dt2D="false" dtr="false" t="normal">SUM(K38)</f>
        <v>18556.493761952814</v>
      </c>
      <c r="L45" s="93" t="n"/>
      <c r="M45" s="93" t="n"/>
      <c r="N45" s="93" t="n"/>
    </row>
    <row customHeight="true" hidden="false" ht="15.75" outlineLevel="0" r="46">
      <c r="A46" s="67" t="n">
        <v>5</v>
      </c>
      <c r="B46" s="189" t="s">
        <v>247</v>
      </c>
      <c r="C46" s="4544" t="s"/>
      <c r="D46" s="4545" t="s"/>
      <c r="E46" s="4546" t="s"/>
      <c r="F46" s="4547" t="s"/>
      <c r="G46" s="4548" t="s"/>
      <c r="H46" s="4549" t="s"/>
      <c r="I46" s="4551" t="s"/>
      <c r="J46" s="4552" t="s"/>
      <c r="K46" s="434" t="n">
        <f aca="false" ca="false" dt2D="false" dtr="false" t="normal">SUM(K42:K45)</f>
        <v>47326.63242861949</v>
      </c>
      <c r="L46" s="93" t="n"/>
      <c r="M46" s="93" t="n"/>
      <c r="N46" s="93" t="n"/>
    </row>
    <row customHeight="true" hidden="false" ht="15.75" outlineLevel="0" r="47">
      <c r="A47" s="3672" t="n">
        <v>6</v>
      </c>
      <c r="B47" s="3673" t="s">
        <v>208</v>
      </c>
      <c r="C47" s="4558" t="s"/>
      <c r="D47" s="4559" t="s"/>
      <c r="E47" s="4561" t="s"/>
      <c r="F47" s="4562" t="s"/>
      <c r="G47" s="4563" t="s"/>
      <c r="H47" s="4564" t="s"/>
      <c r="I47" s="4565" t="s"/>
      <c r="J47" s="4566" t="s"/>
      <c r="K47" s="4567" t="n">
        <f aca="false" ca="false" dt2D="false" dtr="false" t="normal">SUM(K46*0.22)</f>
        <v>10411.859134296286</v>
      </c>
      <c r="L47" s="93" t="n"/>
      <c r="M47" s="93" t="n"/>
      <c r="N47" s="93" t="n"/>
    </row>
    <row customHeight="true" hidden="false" ht="15.75" outlineLevel="0" r="48">
      <c r="A48" s="67" t="n"/>
      <c r="B48" s="177" t="s">
        <v>400</v>
      </c>
      <c r="C48" s="4568" t="s"/>
      <c r="D48" s="4569" t="s"/>
      <c r="E48" s="4570" t="s"/>
      <c r="F48" s="4571" t="s"/>
      <c r="G48" s="4572" t="s"/>
      <c r="H48" s="4573" t="s"/>
      <c r="I48" s="4574" t="s"/>
      <c r="J48" s="4575" t="s"/>
      <c r="K48" s="3757" t="n">
        <f aca="false" ca="false" dt2D="false" dtr="false" t="normal">SUM(K46+K47)-38</f>
        <v>57700.49156291578</v>
      </c>
      <c r="L48" s="93" t="n"/>
      <c r="M48" s="93" t="n"/>
      <c r="N48" s="93" t="n"/>
    </row>
    <row hidden="false" ht="12.75" outlineLevel="0" r="50">
      <c r="K50" s="398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88">
    <mergeCell ref="B1:N1"/>
    <mergeCell ref="A7:N7"/>
    <mergeCell ref="B9:C9"/>
    <mergeCell ref="G9:H9"/>
    <mergeCell ref="B11:C11"/>
    <mergeCell ref="D11:F11"/>
    <mergeCell ref="G11:H11"/>
    <mergeCell ref="B12:C12"/>
    <mergeCell ref="D12:F12"/>
    <mergeCell ref="G12:H12"/>
    <mergeCell ref="I11:K11"/>
    <mergeCell ref="L11:N11"/>
    <mergeCell ref="I12:K12"/>
    <mergeCell ref="L12:N12"/>
    <mergeCell ref="D9:F9"/>
    <mergeCell ref="B10:C10"/>
    <mergeCell ref="D10:F10"/>
    <mergeCell ref="I9:K9"/>
    <mergeCell ref="L9:N9"/>
    <mergeCell ref="I10:K10"/>
    <mergeCell ref="L10:N10"/>
    <mergeCell ref="G10:H10"/>
    <mergeCell ref="B13:C13"/>
    <mergeCell ref="D13:F13"/>
    <mergeCell ref="G13:H13"/>
    <mergeCell ref="I13:K13"/>
    <mergeCell ref="L13:N13"/>
    <mergeCell ref="B14:F14"/>
    <mergeCell ref="G14:H14"/>
    <mergeCell ref="I14:K14"/>
    <mergeCell ref="L14:N14"/>
    <mergeCell ref="B15:C15"/>
    <mergeCell ref="D15:F15"/>
    <mergeCell ref="G15:H15"/>
    <mergeCell ref="I15:K15"/>
    <mergeCell ref="L15:N15"/>
    <mergeCell ref="B16:C16"/>
    <mergeCell ref="D16:F16"/>
    <mergeCell ref="B17:C17"/>
    <mergeCell ref="D17:F17"/>
    <mergeCell ref="G16:H16"/>
    <mergeCell ref="B18:C18"/>
    <mergeCell ref="D18:F18"/>
    <mergeCell ref="G17:H17"/>
    <mergeCell ref="G18:H18"/>
    <mergeCell ref="I16:K16"/>
    <mergeCell ref="I17:K17"/>
    <mergeCell ref="I18:K18"/>
    <mergeCell ref="L16:N16"/>
    <mergeCell ref="L17:N17"/>
    <mergeCell ref="L18:N18"/>
    <mergeCell ref="M22:N22"/>
    <mergeCell ref="M21:N21"/>
    <mergeCell ref="J21:L21"/>
    <mergeCell ref="J22:L22"/>
    <mergeCell ref="M23:N23"/>
    <mergeCell ref="J23:L23"/>
    <mergeCell ref="H21:I21"/>
    <mergeCell ref="H22:I22"/>
    <mergeCell ref="D21:F21"/>
    <mergeCell ref="B21:C21"/>
    <mergeCell ref="D22:F22"/>
    <mergeCell ref="B22:C22"/>
    <mergeCell ref="H23:I23"/>
    <mergeCell ref="D23:F23"/>
    <mergeCell ref="B23:C23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A40:K40"/>
    <mergeCell ref="B41:J41"/>
    <mergeCell ref="B42:J42"/>
    <mergeCell ref="B43:J43"/>
    <mergeCell ref="B44:J44"/>
    <mergeCell ref="B45:J45"/>
    <mergeCell ref="B46:J46"/>
    <mergeCell ref="B47:J47"/>
    <mergeCell ref="B48:J48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2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N39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2" min="2" outlineLevel="0" style="398" width="18.0336414018666"/>
    <col customWidth="true" hidden="false" max="3" min="3" outlineLevel="0" style="398" width="16.1987080102048"/>
    <col customWidth="true" hidden="false" max="4" min="4" outlineLevel="0" style="398" width="11.2660928211455"/>
    <col customWidth="true" hidden="false" max="6" min="6" outlineLevel="0" style="398" width="10.4176831439603"/>
    <col customWidth="true" hidden="false" max="11" min="11" outlineLevel="0" style="398" width="14.0875492506192"/>
    <col customWidth="true" hidden="false" max="13" min="13" outlineLevel="0" style="398" width="6.19536494812434"/>
    <col customWidth="true" hidden="false" max="14" min="14" outlineLevel="0" style="398" width="14.2157975162006"/>
  </cols>
  <sheetData>
    <row hidden="false" ht="15" outlineLevel="0" r="1">
      <c r="A1" s="93" t="n"/>
      <c r="B1" s="1524" t="n"/>
      <c r="C1" s="1524" t="s"/>
      <c r="D1" s="1524" t="s"/>
      <c r="E1" s="1524" t="s"/>
      <c r="F1" s="1524" t="s"/>
      <c r="G1" s="1524" t="s"/>
      <c r="H1" s="1524" t="s"/>
      <c r="I1" s="1524" t="s"/>
      <c r="J1" s="1524" t="s"/>
      <c r="K1" s="1524" t="s"/>
      <c r="L1" s="1524" t="s"/>
      <c r="M1" s="1524" t="s"/>
      <c r="N1" s="1524" t="s"/>
    </row>
    <row hidden="false" ht="15.75" outlineLevel="0" r="2">
      <c r="A2" s="93" t="n"/>
      <c r="B2" s="1524" t="n"/>
      <c r="C2" s="1524" t="n"/>
      <c r="D2" s="1524" t="n"/>
      <c r="E2" s="1524" t="n"/>
      <c r="F2" s="1524" t="n"/>
      <c r="G2" s="93" t="n"/>
      <c r="H2" s="1524" t="n"/>
      <c r="I2" s="101" t="s">
        <v>175</v>
      </c>
      <c r="J2" s="1524" t="n"/>
      <c r="K2" s="1524" t="n"/>
      <c r="L2" s="1524" t="n"/>
      <c r="M2" s="1524" t="n"/>
      <c r="N2" s="1524" t="n"/>
    </row>
    <row hidden="false" ht="15.75" outlineLevel="0" r="3">
      <c r="A3" s="93" t="n"/>
      <c r="B3" s="1524" t="n"/>
      <c r="C3" s="1524" t="n"/>
      <c r="D3" s="1524" t="n"/>
      <c r="E3" s="1524" t="n"/>
      <c r="F3" s="1524" t="n"/>
      <c r="G3" s="93" t="n"/>
      <c r="H3" s="1524" t="n"/>
      <c r="I3" s="105" t="s">
        <v>176</v>
      </c>
      <c r="J3" s="1524" t="n"/>
      <c r="K3" s="1524" t="n"/>
      <c r="L3" s="1524" t="n"/>
      <c r="M3" s="1524" t="n"/>
      <c r="N3" s="1524" t="n"/>
    </row>
    <row hidden="false" ht="15.75" outlineLevel="0" r="4">
      <c r="A4" s="93" t="n"/>
      <c r="B4" s="1524" t="n"/>
      <c r="C4" s="1524" t="n"/>
      <c r="D4" s="1524" t="n"/>
      <c r="E4" s="1524" t="n"/>
      <c r="F4" s="1524" t="n"/>
      <c r="G4" s="93" t="n"/>
      <c r="H4" s="1524" t="n"/>
      <c r="I4" s="101" t="s">
        <v>226</v>
      </c>
      <c r="J4" s="1524" t="n"/>
      <c r="K4" s="1524" t="n"/>
      <c r="L4" s="1524" t="n"/>
      <c r="M4" s="1524" t="n"/>
      <c r="N4" s="1524" t="n"/>
    </row>
    <row hidden="false" ht="15.75" outlineLevel="0" r="5">
      <c r="A5" s="93" t="n"/>
      <c r="B5" s="1524" t="n"/>
      <c r="C5" s="1524" t="n"/>
      <c r="D5" s="1524" t="n"/>
      <c r="E5" s="1524" t="n"/>
      <c r="F5" s="1524" t="n"/>
      <c r="G5" s="93" t="n"/>
      <c r="H5" s="1524" t="n"/>
      <c r="I5" s="105" t="s">
        <v>178</v>
      </c>
      <c r="J5" s="1524" t="n"/>
      <c r="K5" s="1524" t="n"/>
      <c r="L5" s="1524" t="n"/>
      <c r="M5" s="1524" t="n"/>
      <c r="N5" s="1524" t="n"/>
    </row>
    <row hidden="false" ht="15.75" outlineLevel="0" r="6">
      <c r="A6" s="93" t="n"/>
      <c r="B6" s="1524" t="n"/>
      <c r="C6" s="1524" t="n"/>
      <c r="D6" s="1524" t="n"/>
      <c r="E6" s="1524" t="n"/>
      <c r="F6" s="1524" t="n"/>
      <c r="G6" s="105" t="n"/>
      <c r="H6" s="1524" t="n"/>
      <c r="I6" s="1524" t="n"/>
      <c r="J6" s="1524" t="n"/>
      <c r="K6" s="1524" t="n"/>
      <c r="L6" s="1524" t="n"/>
      <c r="M6" s="1524" t="n"/>
      <c r="N6" s="1524" t="n"/>
    </row>
    <row customHeight="true" hidden="false" ht="31.1499996185303" outlineLevel="0" r="7">
      <c r="A7" s="3306" t="s">
        <v>408</v>
      </c>
      <c r="B7" s="3306" t="s"/>
      <c r="C7" s="3306" t="s"/>
      <c r="D7" s="3306" t="s"/>
      <c r="E7" s="3306" t="s"/>
      <c r="F7" s="3306" t="s"/>
      <c r="G7" s="3306" t="s"/>
      <c r="H7" s="3306" t="s"/>
      <c r="I7" s="3306" t="s"/>
      <c r="J7" s="3306" t="s"/>
      <c r="K7" s="3306" t="s"/>
      <c r="L7" s="3306" t="s"/>
      <c r="M7" s="3306" t="s"/>
      <c r="N7" s="3306" t="s"/>
    </row>
    <row hidden="false" ht="15.75" outlineLevel="0" r="8">
      <c r="A8" s="4" t="n"/>
      <c r="B8" s="101" t="s">
        <v>232</v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</row>
    <row customHeight="true" hidden="false" ht="73.5" outlineLevel="0" r="9">
      <c r="A9" s="17" t="n"/>
      <c r="B9" s="129" t="s">
        <v>184</v>
      </c>
      <c r="C9" s="4591" t="s"/>
      <c r="D9" s="129" t="s">
        <v>233</v>
      </c>
      <c r="E9" s="4593" t="s"/>
      <c r="F9" s="4594" t="s"/>
      <c r="G9" s="129" t="s">
        <v>186</v>
      </c>
      <c r="H9" s="4595" t="s"/>
      <c r="I9" s="129" t="s">
        <v>187</v>
      </c>
      <c r="J9" s="4596" t="s"/>
      <c r="K9" s="4597" t="s"/>
      <c r="L9" s="129" t="s">
        <v>347</v>
      </c>
      <c r="M9" s="4598" t="s"/>
      <c r="N9" s="4599" t="s"/>
    </row>
    <row customHeight="true" hidden="false" ht="15.75" outlineLevel="0" r="10">
      <c r="A10" s="17" t="n">
        <v>1</v>
      </c>
      <c r="B10" s="3375" t="s">
        <v>294</v>
      </c>
      <c r="C10" s="4601" t="s"/>
      <c r="D10" s="225" t="n">
        <f aca="false" ca="false" dt2D="false" dtr="false" t="normal">77541*1.302</f>
        <v>100958.382</v>
      </c>
      <c r="E10" s="4609" t="s"/>
      <c r="F10" s="4610" t="s"/>
      <c r="G10" s="381" t="n">
        <v>10080</v>
      </c>
      <c r="H10" s="4611" t="s"/>
      <c r="I10" s="381" t="n">
        <f aca="false" ca="false" dt2D="false" dtr="false" t="normal">SUM(60*7*10)</f>
        <v>4200</v>
      </c>
      <c r="J10" s="4620" t="s"/>
      <c r="K10" s="4621" t="s"/>
      <c r="L10" s="225" t="n">
        <f aca="false" ca="false" dt2D="false" dtr="false" t="normal">D10/G10*I10</f>
        <v>42065.9925</v>
      </c>
      <c r="M10" s="4622" t="s"/>
      <c r="N10" s="4624" t="s"/>
    </row>
    <row customHeight="true" hidden="false" ht="16.5" outlineLevel="0" r="11">
      <c r="A11" s="211" t="n">
        <v>2</v>
      </c>
      <c r="B11" s="3375" t="s">
        <v>294</v>
      </c>
      <c r="C11" s="4632" t="s"/>
      <c r="D11" s="225" t="n">
        <f aca="false" ca="false" dt2D="false" dtr="false" t="normal">77541*1.302</f>
        <v>100958.382</v>
      </c>
      <c r="E11" s="4633" t="s"/>
      <c r="F11" s="4634" t="s"/>
      <c r="G11" s="381" t="n">
        <v>10080</v>
      </c>
      <c r="H11" s="4635" t="s"/>
      <c r="I11" s="381" t="n">
        <f aca="false" ca="false" dt2D="false" dtr="false" t="normal">SUM(60*7*10)</f>
        <v>4200</v>
      </c>
      <c r="J11" s="4639" t="s"/>
      <c r="K11" s="4642" t="s"/>
      <c r="L11" s="225" t="n">
        <f aca="false" ca="false" dt2D="false" dtr="false" t="normal">D11/G11*I11</f>
        <v>42065.9925</v>
      </c>
      <c r="M11" s="4646" t="s"/>
      <c r="N11" s="4647" t="s"/>
    </row>
    <row customHeight="true" hidden="true" ht="16.5" outlineLevel="0" r="12">
      <c r="A12" s="211" t="n"/>
      <c r="B12" s="3375" t="n"/>
      <c r="C12" s="4648" t="s"/>
      <c r="D12" s="225" t="n"/>
      <c r="E12" s="4649" t="s"/>
      <c r="F12" s="4651" t="s"/>
      <c r="G12" s="381" t="n"/>
      <c r="H12" s="4654" t="s"/>
      <c r="I12" s="381" t="n">
        <f aca="false" ca="false" dt2D="false" dtr="false" t="normal">SUM(60*7*10)</f>
        <v>4200</v>
      </c>
      <c r="J12" s="4660" t="s"/>
      <c r="K12" s="4661" t="s"/>
      <c r="L12" s="225" t="n"/>
      <c r="M12" s="4662" t="s"/>
      <c r="N12" s="4663" t="s"/>
    </row>
    <row customHeight="true" hidden="true" ht="16.5" outlineLevel="0" r="13">
      <c r="A13" s="211" t="n"/>
      <c r="B13" s="3375" t="n"/>
      <c r="C13" s="4664" t="s"/>
      <c r="D13" s="225" t="n"/>
      <c r="E13" s="4665" t="s"/>
      <c r="F13" s="4666" t="s"/>
      <c r="G13" s="381" t="n"/>
      <c r="H13" s="4668" t="s"/>
      <c r="I13" s="381" t="n">
        <f aca="false" ca="false" dt2D="false" dtr="false" t="normal">SUM(60*7*10)</f>
        <v>4200</v>
      </c>
      <c r="J13" s="4676" t="s"/>
      <c r="K13" s="4677" t="s"/>
      <c r="L13" s="225" t="n"/>
      <c r="M13" s="4678" t="s"/>
      <c r="N13" s="4679" t="s"/>
    </row>
    <row customHeight="true" hidden="true" ht="16.5" outlineLevel="0" r="14">
      <c r="A14" s="211" t="n"/>
      <c r="B14" s="32" t="n"/>
      <c r="C14" s="4680" t="s"/>
      <c r="D14" s="225" t="n"/>
      <c r="E14" s="4681" t="s"/>
      <c r="F14" s="4682" t="s"/>
      <c r="G14" s="381" t="n"/>
      <c r="H14" s="4683" t="s"/>
      <c r="I14" s="381" t="n">
        <f aca="false" ca="false" dt2D="false" dtr="false" t="normal">SUM(60*7*10)</f>
        <v>4200</v>
      </c>
      <c r="J14" s="4684" t="s"/>
      <c r="K14" s="4686" t="s"/>
      <c r="L14" s="225" t="n"/>
      <c r="M14" s="4694" t="s"/>
      <c r="N14" s="4695" t="s"/>
    </row>
    <row customHeight="true" hidden="false" ht="15.75" outlineLevel="0" r="15">
      <c r="A15" s="124" t="n"/>
      <c r="B15" s="32" t="s">
        <v>183</v>
      </c>
      <c r="C15" s="4696" t="s"/>
      <c r="D15" s="225" t="n">
        <f aca="false" ca="false" dt2D="false" dtr="false" t="normal">SUM(D10:F14)</f>
        <v>201916.764</v>
      </c>
      <c r="E15" s="4701" t="s"/>
      <c r="F15" s="4703" t="s"/>
      <c r="G15" s="381" t="n">
        <f aca="false" ca="false" dt2D="false" dtr="false" t="normal">SUM(G10:H14)</f>
        <v>20160</v>
      </c>
      <c r="H15" s="4707" t="s"/>
      <c r="I15" s="381" t="n">
        <f aca="false" ca="false" dt2D="false" dtr="false" t="normal">SUM(I10:K14)</f>
        <v>21000</v>
      </c>
      <c r="J15" s="4708" t="s"/>
      <c r="K15" s="4709" t="s"/>
      <c r="L15" s="4710" t="n">
        <f aca="false" ca="false" dt2D="false" dtr="false" t="normal">SUM(L10:N14)</f>
        <v>84131.985</v>
      </c>
      <c r="M15" s="4711" t="s"/>
      <c r="N15" s="4713" t="s"/>
    </row>
    <row customHeight="true" hidden="false" ht="15.75" outlineLevel="0" r="16">
      <c r="A16" s="4" t="n"/>
      <c r="B16" s="188" t="n"/>
      <c r="C16" s="188" t="s"/>
      <c r="D16" s="119" t="n"/>
      <c r="E16" s="119" t="s"/>
      <c r="F16" s="119" t="s"/>
      <c r="G16" s="119" t="n"/>
      <c r="H16" s="119" t="s"/>
      <c r="I16" s="143" t="n"/>
      <c r="J16" s="143" t="n"/>
      <c r="K16" s="143" t="n"/>
      <c r="L16" s="143" t="n"/>
      <c r="M16" s="143" t="n"/>
      <c r="N16" s="143" t="n"/>
    </row>
    <row hidden="false" ht="15.75" outlineLevel="0" r="17">
      <c r="A17" s="4" t="n"/>
      <c r="B17" s="101" t="s">
        <v>219</v>
      </c>
      <c r="C17" s="119" t="n"/>
      <c r="D17" s="119" t="n"/>
      <c r="E17" s="119" t="n"/>
      <c r="F17" s="119" t="n"/>
      <c r="G17" s="119" t="n"/>
      <c r="H17" s="119" t="n"/>
      <c r="I17" s="119" t="n"/>
      <c r="J17" s="4" t="n"/>
      <c r="K17" s="4" t="n"/>
      <c r="L17" s="93" t="n"/>
      <c r="M17" s="93" t="n"/>
      <c r="N17" s="93" t="n"/>
    </row>
    <row customHeight="true" hidden="false" ht="15.75" outlineLevel="0" r="18">
      <c r="A18" s="20" t="n"/>
      <c r="B18" s="266" t="s">
        <v>220</v>
      </c>
      <c r="C18" s="4734" t="s"/>
      <c r="D18" s="4736" t="s"/>
      <c r="E18" s="4738" t="s"/>
      <c r="F18" s="4740" t="s"/>
      <c r="G18" s="4742" t="s"/>
      <c r="H18" s="4744" t="s"/>
      <c r="I18" s="4745" t="s"/>
      <c r="J18" s="4746" t="s"/>
      <c r="K18" s="20" t="s">
        <v>270</v>
      </c>
      <c r="L18" s="93" t="n"/>
      <c r="M18" s="93" t="n"/>
      <c r="N18" s="93" t="n"/>
    </row>
    <row customHeight="true" hidden="false" ht="15.75" outlineLevel="0" r="19">
      <c r="A19" s="17" t="n">
        <v>1</v>
      </c>
      <c r="B19" s="276" t="s">
        <v>222</v>
      </c>
      <c r="C19" s="4747" t="s"/>
      <c r="D19" s="4748" t="s"/>
      <c r="E19" s="4749" t="s"/>
      <c r="F19" s="4750" t="s"/>
      <c r="G19" s="4752" t="s"/>
      <c r="H19" s="4753" t="s"/>
      <c r="I19" s="4755" t="s"/>
      <c r="J19" s="4756" t="s"/>
      <c r="K19" s="285" t="n">
        <f aca="false" ca="false" dt2D="false" dtr="false" t="normal">SUM(K20:K21)</f>
        <v>102093.36645537615</v>
      </c>
      <c r="L19" s="93" t="n"/>
      <c r="M19" s="93" t="n"/>
      <c r="N19" s="93" t="n"/>
    </row>
    <row customHeight="true" hidden="false" ht="15.75" outlineLevel="0" r="20">
      <c r="A20" s="17" t="n"/>
      <c r="B20" s="144" t="s">
        <v>223</v>
      </c>
      <c r="C20" s="4576" t="s"/>
      <c r="D20" s="4577" t="s"/>
      <c r="E20" s="4578" t="s"/>
      <c r="F20" s="4579" t="s"/>
      <c r="G20" s="4580" t="s"/>
      <c r="H20" s="4581" t="s"/>
      <c r="I20" s="4582" t="s"/>
      <c r="J20" s="4583" t="s"/>
      <c r="K20" s="285" t="n">
        <f aca="false" ca="false" dt2D="false" dtr="false" t="normal">(15990207-D15)*1.302/218</f>
        <v>94295.20131776147</v>
      </c>
      <c r="L20" s="93" t="n"/>
      <c r="M20" s="93" t="n"/>
      <c r="N20" s="93" t="n"/>
    </row>
    <row customHeight="true" hidden="false" ht="15.75" outlineLevel="0" r="21">
      <c r="A21" s="17" t="n"/>
      <c r="B21" s="144" t="s">
        <v>224</v>
      </c>
      <c r="C21" s="4584" t="s"/>
      <c r="D21" s="4585" t="s"/>
      <c r="E21" s="4586" t="s"/>
      <c r="F21" s="4587" t="s"/>
      <c r="G21" s="4588" t="s"/>
      <c r="H21" s="4589" t="s"/>
      <c r="I21" s="4590" t="s"/>
      <c r="J21" s="4592" t="s"/>
      <c r="K21" s="285" t="n">
        <f aca="false" ca="false" dt2D="false" dtr="false" t="normal">(200000+1500000)/218</f>
        <v>7798.165137614679</v>
      </c>
      <c r="L21" s="93" t="n"/>
      <c r="M21" s="93" t="n"/>
      <c r="N21" s="93" t="n"/>
    </row>
    <row customHeight="true" hidden="false" ht="15.75" outlineLevel="0" r="22">
      <c r="A22" s="17" t="n">
        <v>2</v>
      </c>
      <c r="B22" s="144" t="s">
        <v>225</v>
      </c>
      <c r="C22" s="4600" t="s"/>
      <c r="D22" s="4602" t="s"/>
      <c r="E22" s="4603" t="s"/>
      <c r="F22" s="4604" t="s"/>
      <c r="G22" s="4605" t="s"/>
      <c r="H22" s="4606" t="s"/>
      <c r="I22" s="4607" t="s"/>
      <c r="J22" s="4608" t="s"/>
      <c r="K22" s="285" t="n">
        <f aca="false" ca="false" dt2D="false" dtr="false" t="normal">SUM(K23:K24)</f>
        <v>5675.4139908256875</v>
      </c>
      <c r="L22" s="93" t="n"/>
      <c r="M22" s="93" t="n"/>
      <c r="N22" s="93" t="n"/>
    </row>
    <row customHeight="true" hidden="false" ht="15.75" outlineLevel="0" r="23">
      <c r="A23" s="17" t="n"/>
      <c r="B23" s="310" t="s">
        <v>227</v>
      </c>
      <c r="C23" s="4612" t="s"/>
      <c r="D23" s="4613" t="s"/>
      <c r="E23" s="4614" t="s"/>
      <c r="F23" s="4615" t="s"/>
      <c r="G23" s="4616" t="s"/>
      <c r="H23" s="4617" t="s"/>
      <c r="I23" s="4618" t="s"/>
      <c r="J23" s="4619" t="s"/>
      <c r="K23" s="285" t="n">
        <f aca="false" ca="false" dt2D="false" dtr="false" t="normal">2000000/218/12</f>
        <v>764.525993883792</v>
      </c>
      <c r="L23" s="93" t="n"/>
      <c r="M23" s="93" t="n"/>
      <c r="N23" s="93" t="n"/>
    </row>
    <row customHeight="true" hidden="false" ht="15.75" outlineLevel="0" r="24">
      <c r="A24" s="17" t="n"/>
      <c r="B24" s="310" t="s">
        <v>228</v>
      </c>
      <c r="C24" s="4623" t="s"/>
      <c r="D24" s="4625" t="s"/>
      <c r="E24" s="4626" t="s"/>
      <c r="F24" s="4627" t="s"/>
      <c r="G24" s="4628" t="s"/>
      <c r="H24" s="4629" t="s"/>
      <c r="I24" s="4630" t="s"/>
      <c r="J24" s="4631" t="s"/>
      <c r="K24" s="285" t="n">
        <f aca="false" ca="false" dt2D="false" dtr="false" t="normal">(8246883+3800000+800000)/218/12</f>
        <v>4910.887996941896</v>
      </c>
      <c r="L24" s="93" t="n"/>
      <c r="M24" s="93" t="n"/>
      <c r="N24" s="93" t="n"/>
    </row>
    <row hidden="false" ht="15.75" outlineLevel="0" r="25">
      <c r="A25" s="17" t="n"/>
      <c r="B25" s="276" t="s">
        <v>183</v>
      </c>
      <c r="C25" s="4636" t="s"/>
      <c r="D25" s="4637" t="s"/>
      <c r="E25" s="4638" t="s"/>
      <c r="F25" s="4640" t="s"/>
      <c r="G25" s="4641" t="s"/>
      <c r="H25" s="4643" t="s"/>
      <c r="I25" s="4644" t="s"/>
      <c r="J25" s="4645" t="s"/>
      <c r="K25" s="285" t="n">
        <f aca="false" ca="false" dt2D="false" dtr="false" t="normal">K22</f>
        <v>5675.4139908256875</v>
      </c>
      <c r="L25" s="93" t="n"/>
      <c r="M25" s="93" t="n"/>
      <c r="N25" s="93" t="n"/>
    </row>
    <row customHeight="true" hidden="false" ht="15.75" outlineLevel="0" r="26">
      <c r="A26" s="17" t="n">
        <v>3</v>
      </c>
      <c r="B26" s="144" t="s">
        <v>231</v>
      </c>
      <c r="C26" s="4650" t="s"/>
      <c r="D26" s="4652" t="s"/>
      <c r="E26" s="4653" t="s"/>
      <c r="F26" s="4655" t="s"/>
      <c r="G26" s="4656" t="s"/>
      <c r="H26" s="4657" t="s"/>
      <c r="I26" s="4658" t="s"/>
      <c r="J26" s="4659" t="s"/>
      <c r="K26" s="285" t="n">
        <f aca="false" ca="false" dt2D="false" dtr="false" t="normal">SUM(D15)</f>
        <v>201916.764</v>
      </c>
      <c r="L26" s="93" t="n"/>
      <c r="M26" s="93" t="n"/>
      <c r="N26" s="93" t="n"/>
    </row>
    <row customHeight="true" hidden="false" ht="15.75" outlineLevel="0" r="27">
      <c r="A27" s="17" t="n">
        <v>4</v>
      </c>
      <c r="B27" s="276" t="s">
        <v>234</v>
      </c>
      <c r="C27" s="4667" t="s"/>
      <c r="D27" s="4669" t="s"/>
      <c r="E27" s="4670" t="s"/>
      <c r="F27" s="4671" t="s"/>
      <c r="G27" s="4672" t="s"/>
      <c r="H27" s="4673" t="s"/>
      <c r="I27" s="4674" t="s"/>
      <c r="J27" s="4675" t="s"/>
      <c r="K27" s="285" t="n">
        <f aca="false" ca="false" dt2D="false" dtr="false" t="normal">(K19+K22)/K26</f>
        <v>0.533728742038486</v>
      </c>
      <c r="L27" s="93" t="n"/>
      <c r="M27" s="93" t="n"/>
      <c r="N27" s="93" t="n"/>
    </row>
    <row customHeight="true" hidden="false" ht="15.75" outlineLevel="0" r="28">
      <c r="A28" s="17" t="n">
        <f aca="false" ca="false" dt2D="false" dtr="false" t="normal">SUM(A27+1)</f>
        <v>5</v>
      </c>
      <c r="B28" s="144" t="s">
        <v>235</v>
      </c>
      <c r="C28" s="4685" t="s"/>
      <c r="D28" s="4687" t="s"/>
      <c r="E28" s="4688" t="s"/>
      <c r="F28" s="4689" t="s"/>
      <c r="G28" s="4690" t="s"/>
      <c r="H28" s="4691" t="s"/>
      <c r="I28" s="4692" t="s"/>
      <c r="J28" s="4693" t="s"/>
      <c r="K28" s="285" t="n">
        <f aca="false" ca="false" dt2D="false" dtr="false" t="normal">SUM(L15)</f>
        <v>84131.985</v>
      </c>
      <c r="L28" s="93" t="n"/>
      <c r="M28" s="93" t="n"/>
      <c r="N28" s="93" t="n"/>
    </row>
    <row customHeight="true" hidden="false" ht="13.5" outlineLevel="0" r="29">
      <c r="A29" s="3558" t="n"/>
      <c r="B29" s="276" t="s">
        <v>236</v>
      </c>
      <c r="C29" s="4697" t="s"/>
      <c r="D29" s="4698" t="s"/>
      <c r="E29" s="4699" t="s"/>
      <c r="F29" s="4700" t="s"/>
      <c r="G29" s="4702" t="s"/>
      <c r="H29" s="4704" t="s"/>
      <c r="I29" s="4705" t="s"/>
      <c r="J29" s="4706" t="s"/>
      <c r="K29" s="3934" t="n">
        <f aca="false" ca="false" dt2D="false" dtr="false" t="normal">SUM(K28*K27)</f>
        <v>44903.65851925077</v>
      </c>
      <c r="L29" s="93" t="n"/>
      <c r="M29" s="93" t="n"/>
      <c r="N29" s="93" t="n"/>
    </row>
    <row hidden="false" ht="12.75" outlineLevel="0" r="30">
      <c r="A30" s="3576" t="n"/>
      <c r="L30" s="93" t="n"/>
      <c r="M30" s="93" t="n"/>
      <c r="N30" s="93" t="n"/>
    </row>
    <row customHeight="true" hidden="false" ht="30.75" outlineLevel="0" r="31">
      <c r="A31" s="146" t="s">
        <v>409</v>
      </c>
      <c r="B31" s="4712" t="s"/>
      <c r="C31" s="4714" t="s"/>
      <c r="D31" s="4715" t="s"/>
      <c r="E31" s="4716" t="s"/>
      <c r="F31" s="4717" t="s"/>
      <c r="G31" s="4718" t="s"/>
      <c r="H31" s="4719" t="s"/>
      <c r="I31" s="4720" t="s"/>
      <c r="J31" s="4721" t="s"/>
      <c r="K31" s="4722" t="s"/>
      <c r="L31" s="93" t="n"/>
      <c r="M31" s="93" t="n"/>
      <c r="N31" s="93" t="n"/>
    </row>
    <row customHeight="true" hidden="false" ht="31.5" outlineLevel="0" r="32">
      <c r="A32" s="169" t="s">
        <v>239</v>
      </c>
      <c r="B32" s="169" t="s">
        <v>240</v>
      </c>
      <c r="C32" s="4723" t="s"/>
      <c r="D32" s="4724" t="s"/>
      <c r="E32" s="4725" t="s"/>
      <c r="F32" s="4726" t="s"/>
      <c r="G32" s="4727" t="s"/>
      <c r="H32" s="4728" t="s"/>
      <c r="I32" s="4729" t="s"/>
      <c r="J32" s="4730" t="s"/>
      <c r="K32" s="417" t="s">
        <v>241</v>
      </c>
      <c r="L32" s="93" t="n"/>
      <c r="M32" s="93" t="n"/>
      <c r="N32" s="93" t="n"/>
    </row>
    <row customHeight="true" hidden="false" ht="15.75" outlineLevel="0" r="33">
      <c r="A33" s="67" t="n">
        <v>1</v>
      </c>
      <c r="B33" s="177" t="s">
        <v>242</v>
      </c>
      <c r="C33" s="4731" t="s"/>
      <c r="D33" s="4732" t="s"/>
      <c r="E33" s="4733" t="s"/>
      <c r="F33" s="4735" t="s"/>
      <c r="G33" s="4737" t="s"/>
      <c r="H33" s="4739" t="s"/>
      <c r="I33" s="4741" t="s"/>
      <c r="J33" s="4743" t="s"/>
      <c r="K33" s="434" t="n">
        <f aca="false" ca="false" dt2D="false" dtr="false" t="normal">SUM(L15)</f>
        <v>84131.985</v>
      </c>
      <c r="L33" s="93" t="n"/>
      <c r="M33" s="93" t="n"/>
      <c r="N33" s="93" t="n"/>
    </row>
    <row customHeight="true" hidden="false" ht="15.75" outlineLevel="0" r="34">
      <c r="A34" s="67" t="n">
        <f aca="false" ca="false" dt2D="false" dtr="false" t="normal">SUM(A33+1)</f>
        <v>2</v>
      </c>
      <c r="B34" s="4751" t="s">
        <v>219</v>
      </c>
      <c r="C34" s="4754" t="n"/>
      <c r="D34" s="4754" t="n"/>
      <c r="E34" s="4754" t="n"/>
      <c r="F34" s="4754" t="n"/>
      <c r="G34" s="4754" t="n"/>
      <c r="H34" s="4754" t="n"/>
      <c r="I34" s="4754" t="n"/>
      <c r="J34" s="4757" t="n"/>
      <c r="K34" s="434" t="n">
        <f aca="false" ca="false" dt2D="false" dtr="false" t="normal">K29</f>
        <v>44903.65851925077</v>
      </c>
      <c r="L34" s="93" t="n"/>
      <c r="M34" s="93" t="n"/>
      <c r="N34" s="93" t="n"/>
    </row>
    <row customHeight="true" hidden="false" ht="15.75" outlineLevel="0" r="35">
      <c r="A35" s="67" t="n">
        <f aca="false" ca="false" dt2D="false" dtr="false" t="normal">SUM(A34+1)</f>
        <v>3</v>
      </c>
      <c r="B35" s="189" t="s">
        <v>247</v>
      </c>
      <c r="C35" s="4759" t="s"/>
      <c r="D35" s="4761" t="s"/>
      <c r="E35" s="4763" t="s"/>
      <c r="F35" s="4765" t="s"/>
      <c r="G35" s="4769" t="s"/>
      <c r="H35" s="4771" t="s"/>
      <c r="I35" s="4772" t="s"/>
      <c r="J35" s="4773" t="s"/>
      <c r="K35" s="434" t="n">
        <f aca="false" ca="false" dt2D="false" dtr="false" t="normal">SUM(K33:K34)</f>
        <v>129035.64351925076</v>
      </c>
      <c r="L35" s="93" t="n"/>
      <c r="M35" s="93" t="n"/>
      <c r="N35" s="93" t="n"/>
    </row>
    <row customHeight="true" hidden="false" ht="15.75" outlineLevel="0" r="36">
      <c r="A36" s="67" t="n">
        <f aca="false" ca="false" dt2D="false" dtr="false" t="normal">SUM(A35+1)</f>
        <v>4</v>
      </c>
      <c r="B36" s="177" t="s">
        <v>208</v>
      </c>
      <c r="C36" s="4774" t="s"/>
      <c r="D36" s="4775" t="s"/>
      <c r="E36" s="4776" t="s"/>
      <c r="F36" s="4777" t="s"/>
      <c r="G36" s="4778" t="s"/>
      <c r="H36" s="4779" t="s"/>
      <c r="I36" s="4780" t="s"/>
      <c r="J36" s="4781" t="s"/>
      <c r="K36" s="3683" t="n">
        <f aca="false" ca="false" dt2D="false" dtr="false" t="normal">SUM(K35*0.22)</f>
        <v>28387.841574235168</v>
      </c>
      <c r="L36" s="93" t="n"/>
      <c r="M36" s="93" t="n"/>
      <c r="N36" s="93" t="n"/>
    </row>
    <row customHeight="true" hidden="false" ht="15.75" outlineLevel="0" r="37">
      <c r="A37" s="67" t="n"/>
      <c r="B37" s="177" t="s">
        <v>400</v>
      </c>
      <c r="C37" s="4758" t="s"/>
      <c r="D37" s="4760" t="s"/>
      <c r="E37" s="4762" t="s"/>
      <c r="F37" s="4764" t="s"/>
      <c r="G37" s="4766" t="s"/>
      <c r="H37" s="4767" t="s"/>
      <c r="I37" s="4768" t="s"/>
      <c r="J37" s="4770" t="s"/>
      <c r="K37" s="3757" t="n">
        <f aca="false" ca="false" dt2D="false" dtr="false" t="normal">SUM(K35+K36)-423</f>
        <v>157000.48509348594</v>
      </c>
      <c r="L37" s="93" t="n"/>
      <c r="M37" s="93" t="n"/>
      <c r="N37" s="93" t="n"/>
    </row>
    <row hidden="false" ht="12.75" outlineLevel="0" r="39">
      <c r="K39" s="398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58">
    <mergeCell ref="B1:N1"/>
    <mergeCell ref="A7:N7"/>
    <mergeCell ref="B9:C9"/>
    <mergeCell ref="G9:H9"/>
    <mergeCell ref="B11:C11"/>
    <mergeCell ref="D11:F11"/>
    <mergeCell ref="G11:H11"/>
    <mergeCell ref="I11:K11"/>
    <mergeCell ref="L11:N11"/>
    <mergeCell ref="D9:F9"/>
    <mergeCell ref="B10:C10"/>
    <mergeCell ref="D10:F10"/>
    <mergeCell ref="I9:K9"/>
    <mergeCell ref="L9:N9"/>
    <mergeCell ref="I10:K10"/>
    <mergeCell ref="L10:N10"/>
    <mergeCell ref="G10:H10"/>
    <mergeCell ref="B12:C12"/>
    <mergeCell ref="D12:F12"/>
    <mergeCell ref="G12:H12"/>
    <mergeCell ref="B13:C13"/>
    <mergeCell ref="D13:F13"/>
    <mergeCell ref="G13:H13"/>
    <mergeCell ref="I12:K12"/>
    <mergeCell ref="L12:N12"/>
    <mergeCell ref="L13:N13"/>
    <mergeCell ref="I13:K13"/>
    <mergeCell ref="L14:N14"/>
    <mergeCell ref="L15:N15"/>
    <mergeCell ref="I14:K14"/>
    <mergeCell ref="G14:H14"/>
    <mergeCell ref="I15:K15"/>
    <mergeCell ref="D14:F14"/>
    <mergeCell ref="B14:C14"/>
    <mergeCell ref="G15:H15"/>
    <mergeCell ref="D15:F15"/>
    <mergeCell ref="B15:C15"/>
    <mergeCell ref="B16:C16"/>
    <mergeCell ref="G16:H16"/>
    <mergeCell ref="D16:F16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6:J36"/>
    <mergeCell ref="B35:J35"/>
    <mergeCell ref="B33:J33"/>
    <mergeCell ref="A31:K31"/>
    <mergeCell ref="B32:J32"/>
    <mergeCell ref="B37:J37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2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N36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1" min="11" outlineLevel="0" style="398" width="12.3907298962487"/>
  </cols>
  <sheetData>
    <row hidden="false" ht="15" outlineLevel="0" r="1">
      <c r="A1" s="93" t="n"/>
      <c r="B1" s="1524" t="n"/>
      <c r="C1" s="1524" t="s"/>
      <c r="D1" s="1524" t="s"/>
      <c r="E1" s="1524" t="s"/>
      <c r="F1" s="1524" t="s"/>
      <c r="G1" s="1524" t="s"/>
      <c r="H1" s="1524" t="s"/>
      <c r="I1" s="1524" t="s"/>
      <c r="J1" s="1524" t="s"/>
      <c r="K1" s="1524" t="s"/>
      <c r="L1" s="1524" t="s"/>
      <c r="M1" s="1524" t="s"/>
      <c r="N1" s="1524" t="s"/>
    </row>
    <row hidden="false" ht="15.75" outlineLevel="0" r="2">
      <c r="A2" s="93" t="n"/>
      <c r="B2" s="1524" t="n"/>
      <c r="C2" s="1524" t="n"/>
      <c r="D2" s="1524" t="n"/>
      <c r="E2" s="1524" t="n"/>
      <c r="F2" s="1524" t="n"/>
      <c r="G2" s="93" t="n"/>
      <c r="H2" s="1524" t="n"/>
      <c r="J2" s="101" t="s">
        <v>175</v>
      </c>
      <c r="K2" s="1524" t="n"/>
      <c r="L2" s="1524" t="n"/>
      <c r="M2" s="1524" t="n"/>
      <c r="N2" s="1524" t="n"/>
    </row>
    <row hidden="false" ht="15.75" outlineLevel="0" r="3">
      <c r="A3" s="93" t="n"/>
      <c r="B3" s="1524" t="n"/>
      <c r="C3" s="1524" t="n"/>
      <c r="D3" s="1524" t="n"/>
      <c r="E3" s="1524" t="n"/>
      <c r="F3" s="1524" t="n"/>
      <c r="G3" s="93" t="n"/>
      <c r="H3" s="1524" t="n"/>
      <c r="J3" s="105" t="s">
        <v>176</v>
      </c>
      <c r="K3" s="1524" t="n"/>
      <c r="L3" s="1524" t="n"/>
      <c r="M3" s="1524" t="n"/>
      <c r="N3" s="1524" t="n"/>
    </row>
    <row hidden="false" ht="15.75" outlineLevel="0" r="4">
      <c r="A4" s="93" t="n"/>
      <c r="B4" s="1524" t="n"/>
      <c r="C4" s="1524" t="n"/>
      <c r="D4" s="1524" t="n"/>
      <c r="E4" s="1524" t="n"/>
      <c r="F4" s="1524" t="n"/>
      <c r="G4" s="93" t="n"/>
      <c r="H4" s="1524" t="n"/>
      <c r="J4" s="101" t="s">
        <v>226</v>
      </c>
      <c r="K4" s="1524" t="n"/>
      <c r="L4" s="1524" t="n"/>
      <c r="M4" s="1524" t="n"/>
      <c r="N4" s="1524" t="n"/>
    </row>
    <row hidden="false" ht="15.75" outlineLevel="0" r="5">
      <c r="A5" s="93" t="n"/>
      <c r="B5" s="1524" t="n"/>
      <c r="C5" s="1524" t="n"/>
      <c r="D5" s="1524" t="n"/>
      <c r="E5" s="1524" t="n"/>
      <c r="F5" s="1524" t="n"/>
      <c r="G5" s="93" t="n"/>
      <c r="H5" s="1524" t="n"/>
      <c r="J5" s="105" t="s">
        <v>178</v>
      </c>
      <c r="K5" s="1524" t="n"/>
      <c r="L5" s="1524" t="n"/>
      <c r="M5" s="1524" t="n"/>
      <c r="N5" s="1524" t="n"/>
    </row>
    <row hidden="false" ht="15.75" outlineLevel="0" r="6">
      <c r="A6" s="93" t="n"/>
      <c r="B6" s="1524" t="n"/>
      <c r="C6" s="1524" t="n"/>
      <c r="D6" s="1524" t="n"/>
      <c r="E6" s="1524" t="n"/>
      <c r="F6" s="1524" t="n"/>
      <c r="G6" s="105" t="n"/>
      <c r="H6" s="1524" t="n"/>
      <c r="I6" s="1524" t="n"/>
      <c r="J6" s="1524" t="n"/>
      <c r="K6" s="1524" t="n"/>
      <c r="L6" s="1524" t="n"/>
      <c r="M6" s="1524" t="n"/>
      <c r="N6" s="1524" t="n"/>
    </row>
    <row customHeight="true" hidden="false" ht="15.75" outlineLevel="0" r="7">
      <c r="A7" s="3306" t="s">
        <v>410</v>
      </c>
      <c r="B7" s="3306" t="s"/>
      <c r="C7" s="3306" t="s"/>
      <c r="D7" s="3306" t="s"/>
      <c r="E7" s="3306" t="s"/>
      <c r="F7" s="3306" t="s"/>
      <c r="G7" s="3306" t="s"/>
      <c r="H7" s="3306" t="s"/>
      <c r="I7" s="3306" t="s"/>
      <c r="J7" s="3306" t="s"/>
      <c r="K7" s="3306" t="s"/>
      <c r="L7" s="3306" t="s"/>
      <c r="M7" s="3306" t="s"/>
      <c r="N7" s="3306" t="s"/>
    </row>
    <row hidden="false" ht="15.75" outlineLevel="0" r="8">
      <c r="A8" s="4" t="n"/>
      <c r="B8" s="101" t="s">
        <v>232</v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</row>
    <row customHeight="true" hidden="false" ht="15.75" outlineLevel="0" r="9">
      <c r="A9" s="17" t="n"/>
      <c r="B9" s="129" t="s">
        <v>184</v>
      </c>
      <c r="C9" s="4790" t="s"/>
      <c r="D9" s="129" t="s">
        <v>411</v>
      </c>
      <c r="E9" s="4791" t="s"/>
      <c r="F9" s="4792" t="s"/>
      <c r="G9" s="129" t="s">
        <v>186</v>
      </c>
      <c r="H9" s="4793" t="s"/>
      <c r="I9" s="129" t="s">
        <v>187</v>
      </c>
      <c r="J9" s="4794" t="s"/>
      <c r="K9" s="4795" t="s"/>
      <c r="L9" s="129" t="s">
        <v>347</v>
      </c>
      <c r="M9" s="4796" t="s"/>
      <c r="N9" s="4797" t="s"/>
    </row>
    <row customHeight="true" hidden="false" ht="15.75" outlineLevel="0" r="10">
      <c r="A10" s="17" t="n">
        <v>1</v>
      </c>
      <c r="B10" s="32" t="s">
        <v>362</v>
      </c>
      <c r="C10" s="4799" t="s"/>
      <c r="D10" s="225" t="n">
        <f aca="false" ca="false" dt2D="false" dtr="false" t="normal">69233*1.302</f>
        <v>90141.36600000001</v>
      </c>
      <c r="E10" s="4808" t="s"/>
      <c r="F10" s="4809" t="s"/>
      <c r="G10" s="225" t="n">
        <f aca="false" ca="false" dt2D="false" dtr="false" t="normal">SUM(22*8)*60</f>
        <v>10560</v>
      </c>
      <c r="H10" s="4812" t="s"/>
      <c r="I10" s="225" t="n">
        <f aca="false" ca="false" dt2D="false" dtr="false" t="normal">SUM(60*6)*8</f>
        <v>2880</v>
      </c>
      <c r="J10" s="4814" t="s"/>
      <c r="K10" s="4816" t="s"/>
      <c r="L10" s="225" t="n">
        <f aca="false" ca="false" dt2D="false" dtr="false" t="normal">D10/G10*I10</f>
        <v>24584.008909090913</v>
      </c>
      <c r="M10" s="4818" t="s"/>
      <c r="N10" s="4820" t="s"/>
    </row>
    <row customHeight="true" hidden="false" ht="15.75" outlineLevel="0" r="11">
      <c r="A11" s="211" t="n">
        <v>2</v>
      </c>
      <c r="B11" s="32" t="s">
        <v>397</v>
      </c>
      <c r="C11" s="4822" t="s"/>
      <c r="D11" s="225" t="n">
        <f aca="false" ca="false" dt2D="false" dtr="false" t="normal">68852*1.302</f>
        <v>89645.304</v>
      </c>
      <c r="E11" s="4825" t="s"/>
      <c r="F11" s="4826" t="s"/>
      <c r="G11" s="225" t="n">
        <f aca="false" ca="false" dt2D="false" dtr="false" t="normal">SUM(22*8)*60</f>
        <v>10560</v>
      </c>
      <c r="H11" s="4828" t="s"/>
      <c r="I11" s="225" t="n">
        <f aca="false" ca="false" dt2D="false" dtr="false" t="normal">SUM(60*5)</f>
        <v>300</v>
      </c>
      <c r="J11" s="4831" t="s"/>
      <c r="K11" s="4832" t="s"/>
      <c r="L11" s="225" t="n">
        <f aca="false" ca="false" dt2D="false" dtr="false" t="normal">D11/G11*I11</f>
        <v>2546.741590909091</v>
      </c>
      <c r="M11" s="4834" t="s"/>
      <c r="N11" s="4835" t="s"/>
    </row>
    <row customHeight="true" hidden="false" ht="15.75" outlineLevel="0" r="12">
      <c r="A12" s="124" t="n"/>
      <c r="B12" s="32" t="s">
        <v>183</v>
      </c>
      <c r="C12" s="4836" t="s"/>
      <c r="D12" s="225" t="n">
        <f aca="false" ca="false" dt2D="false" dtr="false" t="normal">SUM(D10:F11)</f>
        <v>179786.67</v>
      </c>
      <c r="E12" s="4840" t="s"/>
      <c r="F12" s="4841" t="s"/>
      <c r="G12" s="225" t="n">
        <f aca="false" ca="false" dt2D="false" dtr="false" t="normal">SUM(G10:H11)</f>
        <v>21120</v>
      </c>
      <c r="H12" s="4842" t="s"/>
      <c r="I12" s="225" t="n">
        <f aca="false" ca="false" dt2D="false" dtr="false" t="normal">SUM(I10:K11)</f>
        <v>3180</v>
      </c>
      <c r="J12" s="4844" t="s"/>
      <c r="K12" s="4845" t="s"/>
      <c r="L12" s="250" t="n">
        <f aca="false" ca="false" dt2D="false" dtr="false" t="normal">SUM(L10:N11)</f>
        <v>27130.750500000006</v>
      </c>
      <c r="M12" s="4848" t="s"/>
      <c r="N12" s="4849" t="s"/>
    </row>
    <row customHeight="true" hidden="false" ht="15.75" outlineLevel="0" r="13">
      <c r="A13" s="4" t="n"/>
      <c r="B13" s="188" t="n"/>
      <c r="C13" s="188" t="s"/>
      <c r="D13" s="119" t="n"/>
      <c r="E13" s="119" t="s"/>
      <c r="F13" s="119" t="s"/>
      <c r="G13" s="119" t="n"/>
      <c r="H13" s="119" t="s"/>
      <c r="I13" s="119" t="n"/>
      <c r="J13" s="119" t="s"/>
      <c r="K13" s="119" t="s"/>
      <c r="L13" s="119" t="n"/>
      <c r="M13" s="119" t="s"/>
      <c r="N13" s="119" t="s"/>
    </row>
    <row customHeight="true" hidden="false" ht="15.75" outlineLevel="0" r="14">
      <c r="A14" s="4" t="n"/>
      <c r="B14" s="195" t="s">
        <v>198</v>
      </c>
      <c r="C14" s="195" t="s"/>
      <c r="D14" s="195" t="s"/>
      <c r="E14" s="195" t="s"/>
      <c r="F14" s="195" t="s"/>
      <c r="G14" s="119" t="n"/>
      <c r="H14" s="119" t="s"/>
      <c r="I14" s="119" t="n"/>
      <c r="J14" s="119" t="s"/>
      <c r="K14" s="119" t="s"/>
      <c r="L14" s="119" t="n"/>
      <c r="M14" s="119" t="s"/>
      <c r="N14" s="119" t="s"/>
    </row>
    <row customHeight="true" hidden="false" ht="15.75" outlineLevel="0" r="15">
      <c r="A15" s="275" t="n"/>
      <c r="B15" s="129" t="s">
        <v>200</v>
      </c>
      <c r="C15" s="4855" t="s"/>
      <c r="D15" s="129" t="s">
        <v>201</v>
      </c>
      <c r="E15" s="4858" t="s"/>
      <c r="F15" s="4859" t="s"/>
      <c r="G15" s="129" t="s">
        <v>202</v>
      </c>
      <c r="H15" s="4861" t="s"/>
      <c r="I15" s="129" t="s">
        <v>203</v>
      </c>
      <c r="J15" s="4862" t="s"/>
      <c r="K15" s="4863" t="s"/>
      <c r="L15" s="129" t="s">
        <v>349</v>
      </c>
      <c r="M15" s="4864" t="s"/>
      <c r="N15" s="4865" t="s"/>
    </row>
    <row customHeight="true" hidden="false" ht="15.75" outlineLevel="0" r="16">
      <c r="A16" s="17" t="n">
        <v>1</v>
      </c>
      <c r="B16" s="32" t="s">
        <v>350</v>
      </c>
      <c r="C16" s="4866" t="s"/>
      <c r="D16" s="95" t="s">
        <v>342</v>
      </c>
      <c r="E16" s="4867" t="s"/>
      <c r="F16" s="4868" t="s"/>
      <c r="G16" s="95" t="n">
        <f aca="false" ca="false" dt2D="false" dtr="false" t="normal">J23*15.6</f>
        <v>78</v>
      </c>
      <c r="H16" s="4869" t="s"/>
      <c r="I16" s="95" t="n">
        <v>72.06</v>
      </c>
      <c r="J16" s="4870" t="s"/>
      <c r="K16" s="4871" t="s"/>
      <c r="L16" s="225" t="n">
        <f aca="false" ca="false" dt2D="false" dtr="false" t="normal">G16*I16</f>
        <v>5620.68</v>
      </c>
      <c r="M16" s="4872" t="s"/>
      <c r="N16" s="4873" t="s"/>
    </row>
    <row customHeight="true" hidden="false" ht="15.75" outlineLevel="0" r="17">
      <c r="A17" s="17" t="n">
        <v>2</v>
      </c>
      <c r="B17" s="32" t="s">
        <v>413</v>
      </c>
      <c r="C17" s="4874" t="s"/>
      <c r="D17" s="95" t="s">
        <v>342</v>
      </c>
      <c r="E17" s="4875" t="s"/>
      <c r="F17" s="4877" t="s"/>
      <c r="G17" s="95" t="n">
        <f aca="false" ca="false" dt2D="false" dtr="false" t="normal">SUM(5.84*J25)</f>
        <v>280.32</v>
      </c>
      <c r="H17" s="4884" t="s"/>
      <c r="I17" s="95" t="n">
        <v>72.06</v>
      </c>
      <c r="J17" s="4886" t="s"/>
      <c r="K17" s="4887" t="s"/>
      <c r="L17" s="225" t="n">
        <f aca="false" ca="false" dt2D="false" dtr="false" t="normal">G17*I17</f>
        <v>20199.8592</v>
      </c>
      <c r="M17" s="4888" t="s"/>
      <c r="N17" s="4889" t="s"/>
    </row>
    <row customHeight="true" hidden="false" ht="15.75" outlineLevel="0" r="18">
      <c r="A18" s="17" t="n">
        <v>3</v>
      </c>
      <c r="B18" s="32" t="s">
        <v>351</v>
      </c>
      <c r="C18" s="4893" t="s"/>
      <c r="D18" s="95" t="s">
        <v>342</v>
      </c>
      <c r="E18" s="4897" t="s"/>
      <c r="F18" s="4898" t="s"/>
      <c r="G18" s="225" t="n">
        <f aca="false" ca="false" dt2D="false" dtr="false" t="normal">G17*0.02</f>
        <v>5.6064</v>
      </c>
      <c r="H18" s="4901" t="s"/>
      <c r="I18" s="95" t="n">
        <v>580</v>
      </c>
      <c r="J18" s="4902" t="s"/>
      <c r="K18" s="4903" t="s"/>
      <c r="L18" s="225" t="n">
        <f aca="false" ca="false" dt2D="false" dtr="false" t="normal">G18*I18</f>
        <v>3251.712</v>
      </c>
      <c r="M18" s="4904" t="s"/>
      <c r="N18" s="4905" t="s"/>
    </row>
    <row customHeight="true" hidden="false" ht="15.75" outlineLevel="0" r="19">
      <c r="A19" s="124" t="n"/>
      <c r="B19" s="32" t="s">
        <v>183</v>
      </c>
      <c r="C19" s="4782" t="s"/>
      <c r="D19" s="95" t="n"/>
      <c r="E19" s="4783" t="s"/>
      <c r="F19" s="4784" t="s"/>
      <c r="G19" s="95" t="n"/>
      <c r="H19" s="4785" t="s"/>
      <c r="I19" s="95" t="n"/>
      <c r="J19" s="4786" t="s"/>
      <c r="K19" s="4787" t="s"/>
      <c r="L19" s="250" t="n">
        <f aca="false" ca="false" dt2D="false" dtr="false" t="normal">SUM(L16:N18)</f>
        <v>29072.2512</v>
      </c>
      <c r="M19" s="4788" t="s"/>
      <c r="N19" s="4789" t="s"/>
    </row>
    <row hidden="false" ht="15.75" outlineLevel="0" r="20">
      <c r="A20" s="4" t="n"/>
      <c r="B20" s="119" t="n"/>
      <c r="C20" s="119" t="n"/>
      <c r="D20" s="119" t="n"/>
      <c r="E20" s="119" t="n"/>
      <c r="F20" s="119" t="n"/>
      <c r="G20" s="119" t="n"/>
      <c r="H20" s="119" t="n"/>
      <c r="I20" s="119" t="n"/>
      <c r="J20" s="119" t="n"/>
      <c r="K20" s="119" t="n"/>
      <c r="L20" s="253" t="n"/>
      <c r="M20" s="253" t="n"/>
      <c r="N20" s="253" t="n"/>
    </row>
    <row hidden="false" ht="15.75" outlineLevel="0" r="21">
      <c r="A21" s="4" t="n"/>
      <c r="B21" s="105" t="s">
        <v>212</v>
      </c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</row>
    <row customHeight="true" hidden="false" ht="63" outlineLevel="0" r="22">
      <c r="A22" s="17" t="n"/>
      <c r="B22" s="129" t="s">
        <v>213</v>
      </c>
      <c r="C22" s="4798" t="s"/>
      <c r="D22" s="129" t="s">
        <v>214</v>
      </c>
      <c r="E22" s="4800" t="s"/>
      <c r="F22" s="4801" t="s"/>
      <c r="G22" s="259" t="s">
        <v>215</v>
      </c>
      <c r="H22" s="3183" t="s">
        <v>216</v>
      </c>
      <c r="I22" s="4802" t="s"/>
      <c r="J22" s="129" t="s">
        <v>217</v>
      </c>
      <c r="K22" s="4803" t="s"/>
      <c r="L22" s="4804" t="s"/>
      <c r="M22" s="129" t="s">
        <v>218</v>
      </c>
      <c r="N22" s="4805" t="s"/>
    </row>
    <row customHeight="true" hidden="false" ht="15.75" outlineLevel="0" r="23">
      <c r="A23" s="17" t="n">
        <v>1</v>
      </c>
      <c r="B23" s="32" t="s">
        <v>399</v>
      </c>
      <c r="C23" s="4806" t="s"/>
      <c r="D23" s="225" t="n">
        <v>469000</v>
      </c>
      <c r="E23" s="4807" t="s"/>
      <c r="F23" s="4810" t="s"/>
      <c r="G23" s="4811" t="n">
        <v>0.067</v>
      </c>
      <c r="H23" s="99" t="n">
        <f aca="false" ca="false" dt2D="false" dtr="false" t="normal">12*20*4</f>
        <v>960</v>
      </c>
      <c r="I23" s="4813" t="s"/>
      <c r="J23" s="95" t="n">
        <f aca="false" ca="false" dt2D="false" dtr="false" t="normal">SUM(2.5*2)</f>
        <v>5</v>
      </c>
      <c r="K23" s="4815" t="s"/>
      <c r="L23" s="4817" t="s"/>
      <c r="M23" s="106" t="n">
        <f aca="false" ca="false" dt2D="false" dtr="false" t="normal">SUM(D23*G23)/H23*J23</f>
        <v>163.66145833333334</v>
      </c>
      <c r="N23" s="4819" t="s"/>
    </row>
    <row customHeight="true" hidden="false" ht="15.75" outlineLevel="0" r="24">
      <c r="A24" s="17" t="n">
        <v>2</v>
      </c>
      <c r="B24" s="32" t="s">
        <v>401</v>
      </c>
      <c r="C24" s="4821" t="s"/>
      <c r="D24" s="95" t="n">
        <v>80000</v>
      </c>
      <c r="E24" s="4823" t="s"/>
      <c r="F24" s="4824" t="s"/>
      <c r="G24" s="4811" t="n">
        <v>0.2</v>
      </c>
      <c r="H24" s="4050" t="n">
        <f aca="false" ca="false" dt2D="false" dtr="false" t="normal">8*4*20</f>
        <v>640</v>
      </c>
      <c r="I24" s="4827" t="s"/>
      <c r="J24" s="95" t="n">
        <f aca="false" ca="false" dt2D="false" dtr="false" t="normal">SUM(6*8)</f>
        <v>48</v>
      </c>
      <c r="K24" s="4829" t="s"/>
      <c r="L24" s="4830" t="s"/>
      <c r="M24" s="106" t="n">
        <f aca="false" ca="false" dt2D="false" dtr="false" t="normal">SUM(D24*G24)/H24*6</f>
        <v>150</v>
      </c>
      <c r="N24" s="4833" t="s"/>
    </row>
    <row hidden="false" ht="15.75" outlineLevel="0" r="25">
      <c r="A25" s="17" t="n">
        <v>3</v>
      </c>
      <c r="B25" s="3375" t="s">
        <v>402</v>
      </c>
      <c r="C25" s="4837" t="s"/>
      <c r="D25" s="4061" t="n">
        <v>498000</v>
      </c>
      <c r="E25" s="4838" t="s"/>
      <c r="F25" s="4839" t="s"/>
      <c r="G25" s="4811" t="n">
        <v>0.2</v>
      </c>
      <c r="H25" s="4050" t="n">
        <f aca="false" ca="false" dt2D="false" dtr="false" t="normal">8*4*20</f>
        <v>640</v>
      </c>
      <c r="I25" s="4843" t="s"/>
      <c r="J25" s="95" t="n">
        <f aca="false" ca="false" dt2D="false" dtr="false" t="normal">SUM(6*8)</f>
        <v>48</v>
      </c>
      <c r="K25" s="4846" t="s"/>
      <c r="L25" s="4847" t="s"/>
      <c r="M25" s="106" t="n">
        <f aca="false" ca="false" dt2D="false" dtr="false" t="normal">SUM(D25*G25)/H25*6</f>
        <v>933.75</v>
      </c>
      <c r="N25" s="4850" t="s"/>
    </row>
    <row customHeight="true" hidden="false" ht="15.75" outlineLevel="0" r="26">
      <c r="A26" s="124" t="n"/>
      <c r="B26" s="32" t="s">
        <v>183</v>
      </c>
      <c r="C26" s="4851" t="s"/>
      <c r="D26" s="95" t="n"/>
      <c r="E26" s="4852" t="s"/>
      <c r="F26" s="4853" t="s"/>
      <c r="G26" s="3204" t="n"/>
      <c r="H26" s="3668" t="n"/>
      <c r="I26" s="4854" t="s"/>
      <c r="J26" s="95" t="n"/>
      <c r="K26" s="4856" t="s"/>
      <c r="L26" s="4857" t="s"/>
      <c r="M26" s="136" t="n">
        <f aca="false" ca="false" dt2D="false" dtr="false" t="normal">SUM(M23:N25)</f>
        <v>1247.4114583333335</v>
      </c>
      <c r="N26" s="4860" t="s"/>
    </row>
    <row hidden="false" ht="12.75" outlineLevel="0" r="27">
      <c r="A27" s="93" t="n"/>
      <c r="B27" s="3348" t="n"/>
      <c r="C27" s="3348" t="n"/>
      <c r="D27" s="3348" t="n"/>
      <c r="E27" s="3348" t="n"/>
      <c r="F27" s="3348" t="n"/>
      <c r="G27" s="3348" t="n"/>
      <c r="H27" s="3348" t="n"/>
      <c r="I27" s="3348" t="n"/>
      <c r="J27" s="3348" t="n"/>
      <c r="K27" s="3348" t="n"/>
      <c r="L27" s="3684" t="n"/>
      <c r="M27" s="3684" t="n"/>
      <c r="N27" s="3684" t="n"/>
    </row>
    <row hidden="false" ht="12.75" outlineLevel="0" r="28">
      <c r="A28" s="3576" t="n"/>
      <c r="L28" s="93" t="n"/>
      <c r="M28" s="93" t="n"/>
      <c r="N28" s="93" t="n"/>
    </row>
    <row customHeight="true" hidden="false" ht="45.75" outlineLevel="0" r="29">
      <c r="A29" s="403" t="s">
        <v>412</v>
      </c>
      <c r="B29" s="403" t="s"/>
      <c r="C29" s="403" t="s"/>
      <c r="D29" s="403" t="s"/>
      <c r="E29" s="403" t="s"/>
      <c r="F29" s="403" t="s"/>
      <c r="G29" s="403" t="s"/>
      <c r="H29" s="403" t="s"/>
      <c r="I29" s="403" t="s"/>
      <c r="J29" s="403" t="s"/>
      <c r="K29" s="403" t="s"/>
      <c r="L29" s="93" t="n"/>
      <c r="M29" s="93" t="n"/>
      <c r="N29" s="93" t="n"/>
    </row>
    <row customHeight="true" hidden="false" ht="31.5" outlineLevel="0" r="30">
      <c r="A30" s="169" t="s">
        <v>239</v>
      </c>
      <c r="B30" s="169" t="s">
        <v>240</v>
      </c>
      <c r="C30" s="4876" t="s"/>
      <c r="D30" s="4878" t="s"/>
      <c r="E30" s="4879" t="s"/>
      <c r="F30" s="4880" t="s"/>
      <c r="G30" s="4881" t="s"/>
      <c r="H30" s="4882" t="s"/>
      <c r="I30" s="4883" t="s"/>
      <c r="J30" s="4885" t="s"/>
      <c r="K30" s="417" t="s">
        <v>241</v>
      </c>
      <c r="L30" s="93" t="n"/>
      <c r="M30" s="93" t="n"/>
      <c r="N30" s="93" t="n"/>
    </row>
    <row customHeight="true" hidden="false" ht="15.75" outlineLevel="0" r="31">
      <c r="A31" s="67" t="n">
        <v>1</v>
      </c>
      <c r="B31" s="177" t="s">
        <v>242</v>
      </c>
      <c r="C31" s="4890" t="s"/>
      <c r="D31" s="4891" t="s"/>
      <c r="E31" s="4892" t="s"/>
      <c r="F31" s="4894" t="s"/>
      <c r="G31" s="4895" t="s"/>
      <c r="H31" s="4896" t="s"/>
      <c r="I31" s="4899" t="s"/>
      <c r="J31" s="4900" t="s"/>
      <c r="K31" s="434" t="n">
        <f aca="false" ca="false" dt2D="false" dtr="false" t="normal">SUM(L12)</f>
        <v>27130.750500000006</v>
      </c>
      <c r="L31" s="93" t="n"/>
      <c r="M31" s="93" t="n"/>
      <c r="N31" s="93" t="n"/>
    </row>
    <row customHeight="true" hidden="false" ht="15.75" outlineLevel="0" r="32">
      <c r="A32" s="67" t="n">
        <v>2</v>
      </c>
      <c r="B32" s="189" t="s">
        <v>243</v>
      </c>
      <c r="C32" s="4906" t="s"/>
      <c r="D32" s="4907" t="s"/>
      <c r="E32" s="4908" t="s"/>
      <c r="F32" s="4910" t="s"/>
      <c r="G32" s="4912" t="s"/>
      <c r="H32" s="4915" t="s"/>
      <c r="I32" s="4918" t="s"/>
      <c r="J32" s="4920" t="s"/>
      <c r="K32" s="434" t="n">
        <f aca="false" ca="false" dt2D="false" dtr="false" t="normal">SUM(L19)</f>
        <v>29072.2512</v>
      </c>
      <c r="L32" s="93" t="n"/>
      <c r="M32" s="93" t="n"/>
      <c r="N32" s="93" t="n"/>
    </row>
    <row customHeight="true" hidden="false" ht="32.25" outlineLevel="0" r="33">
      <c r="A33" s="67" t="n">
        <v>3</v>
      </c>
      <c r="B33" s="177" t="s">
        <v>244</v>
      </c>
      <c r="C33" s="4926" t="s"/>
      <c r="D33" s="4929" t="s"/>
      <c r="E33" s="4930" t="s"/>
      <c r="F33" s="4932" t="s"/>
      <c r="G33" s="4934" t="s"/>
      <c r="H33" s="4935" t="s"/>
      <c r="I33" s="4936" t="s"/>
      <c r="J33" s="4937" t="s"/>
      <c r="K33" s="434" t="n">
        <f aca="false" ca="false" dt2D="false" dtr="false" t="normal">SUM(M26)</f>
        <v>1247.4114583333335</v>
      </c>
      <c r="L33" s="93" t="n"/>
      <c r="M33" s="93" t="n"/>
      <c r="N33" s="93" t="n"/>
    </row>
    <row customHeight="true" hidden="false" ht="15.75" outlineLevel="0" r="34">
      <c r="A34" s="67" t="n">
        <v>4</v>
      </c>
      <c r="B34" s="189" t="s">
        <v>247</v>
      </c>
      <c r="C34" s="4909" t="s"/>
      <c r="D34" s="4911" t="s"/>
      <c r="E34" s="4913" t="s"/>
      <c r="F34" s="4914" t="s"/>
      <c r="G34" s="4916" t="s"/>
      <c r="H34" s="4917" t="s"/>
      <c r="I34" s="4919" t="s"/>
      <c r="J34" s="4921" t="s"/>
      <c r="K34" s="434" t="n">
        <f aca="false" ca="false" dt2D="false" dtr="false" t="normal">SUM(K31:K33)</f>
        <v>57450.413158333344</v>
      </c>
      <c r="L34" s="93" t="n"/>
      <c r="M34" s="93" t="n"/>
      <c r="N34" s="93" t="n"/>
    </row>
    <row customHeight="true" hidden="false" ht="15.75" outlineLevel="0" r="35">
      <c r="A35" s="3672" t="n">
        <v>5</v>
      </c>
      <c r="B35" s="3673" t="s">
        <v>208</v>
      </c>
      <c r="C35" s="4922" t="s"/>
      <c r="D35" s="4923" t="s"/>
      <c r="E35" s="4924" t="s"/>
      <c r="F35" s="4925" t="s"/>
      <c r="G35" s="4927" t="s"/>
      <c r="H35" s="4928" t="s"/>
      <c r="I35" s="4931" t="s"/>
      <c r="J35" s="4933" t="s"/>
      <c r="K35" s="3683" t="n">
        <f aca="false" ca="false" dt2D="false" dtr="false" t="normal">SUM(K34*0.22)</f>
        <v>12639.090894833336</v>
      </c>
      <c r="L35" s="93" t="n"/>
      <c r="M35" s="93" t="n"/>
      <c r="N35" s="93" t="n"/>
    </row>
    <row customHeight="true" hidden="false" ht="15.75" outlineLevel="0" r="36">
      <c r="A36" s="67" t="n"/>
      <c r="B36" s="177" t="s">
        <v>400</v>
      </c>
      <c r="C36" s="4938" t="s"/>
      <c r="D36" s="4939" t="s"/>
      <c r="E36" s="4940" t="s"/>
      <c r="F36" s="4941" t="s"/>
      <c r="G36" s="4942" t="s"/>
      <c r="H36" s="4943" t="s"/>
      <c r="I36" s="4944" t="s"/>
      <c r="J36" s="4945" t="s"/>
      <c r="K36" s="512" t="n">
        <f aca="false" ca="false" dt2D="false" dtr="false" t="normal">SUM(K34+K35)-90</f>
        <v>69999.50405316667</v>
      </c>
      <c r="L36" s="93" t="n"/>
      <c r="M36" s="93" t="n"/>
      <c r="N36" s="93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89">
    <mergeCell ref="B1:N1"/>
    <mergeCell ref="A7:N7"/>
    <mergeCell ref="B9:C9"/>
    <mergeCell ref="G9:H9"/>
    <mergeCell ref="B11:C11"/>
    <mergeCell ref="D11:F11"/>
    <mergeCell ref="G11:H11"/>
    <mergeCell ref="B12:C12"/>
    <mergeCell ref="D12:F12"/>
    <mergeCell ref="G12:H12"/>
    <mergeCell ref="I11:K11"/>
    <mergeCell ref="L11:N11"/>
    <mergeCell ref="I12:K12"/>
    <mergeCell ref="L12:N12"/>
    <mergeCell ref="D9:F9"/>
    <mergeCell ref="B10:C10"/>
    <mergeCell ref="D10:F10"/>
    <mergeCell ref="I9:K9"/>
    <mergeCell ref="L9:N9"/>
    <mergeCell ref="I10:K10"/>
    <mergeCell ref="L10:N10"/>
    <mergeCell ref="G10:H10"/>
    <mergeCell ref="B13:C13"/>
    <mergeCell ref="D13:F13"/>
    <mergeCell ref="G13:H13"/>
    <mergeCell ref="I13:K13"/>
    <mergeCell ref="L13:N13"/>
    <mergeCell ref="B14:F14"/>
    <mergeCell ref="G14:H14"/>
    <mergeCell ref="I14:K14"/>
    <mergeCell ref="L14:N14"/>
    <mergeCell ref="B15:C15"/>
    <mergeCell ref="D15:F15"/>
    <mergeCell ref="B16:C16"/>
    <mergeCell ref="D16:F16"/>
    <mergeCell ref="G15:H15"/>
    <mergeCell ref="G16:H16"/>
    <mergeCell ref="I15:K15"/>
    <mergeCell ref="L15:N15"/>
    <mergeCell ref="I16:K16"/>
    <mergeCell ref="L16:N16"/>
    <mergeCell ref="B17:C17"/>
    <mergeCell ref="D17:F17"/>
    <mergeCell ref="B18:C18"/>
    <mergeCell ref="D18:F18"/>
    <mergeCell ref="G17:H17"/>
    <mergeCell ref="G18:H18"/>
    <mergeCell ref="I17:K17"/>
    <mergeCell ref="L17:N17"/>
    <mergeCell ref="I18:K18"/>
    <mergeCell ref="L18:N18"/>
    <mergeCell ref="G19:H19"/>
    <mergeCell ref="L19:N19"/>
    <mergeCell ref="I19:K19"/>
    <mergeCell ref="B19:C19"/>
    <mergeCell ref="D19:F19"/>
    <mergeCell ref="D22:F22"/>
    <mergeCell ref="B22:C22"/>
    <mergeCell ref="B23:C23"/>
    <mergeCell ref="D23:F23"/>
    <mergeCell ref="D24:F24"/>
    <mergeCell ref="B24:C24"/>
    <mergeCell ref="D25:F25"/>
    <mergeCell ref="B25:C25"/>
    <mergeCell ref="D26:F26"/>
    <mergeCell ref="B26:C26"/>
    <mergeCell ref="M22:N22"/>
    <mergeCell ref="J22:L22"/>
    <mergeCell ref="H23:I23"/>
    <mergeCell ref="H22:I22"/>
    <mergeCell ref="J23:L23"/>
    <mergeCell ref="M23:N23"/>
    <mergeCell ref="M24:N24"/>
    <mergeCell ref="M25:N25"/>
    <mergeCell ref="J24:L24"/>
    <mergeCell ref="M26:N26"/>
    <mergeCell ref="J25:L25"/>
    <mergeCell ref="J26:L26"/>
    <mergeCell ref="H24:I24"/>
    <mergeCell ref="H25:I25"/>
    <mergeCell ref="H26:I26"/>
    <mergeCell ref="B34:J34"/>
    <mergeCell ref="B33:J33"/>
    <mergeCell ref="B32:J32"/>
    <mergeCell ref="B31:J31"/>
    <mergeCell ref="B30:J30"/>
    <mergeCell ref="A29:K29"/>
    <mergeCell ref="B35:J35"/>
    <mergeCell ref="B36:J36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xl/worksheets/sheet2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F28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2" min="2" outlineLevel="0" style="398" width="26.6262562492102"/>
    <col customWidth="true" hidden="false" max="3" min="3" outlineLevel="0" style="398" width="18.3098681231198"/>
    <col customWidth="true" hidden="false" max="4" min="4" outlineLevel="0" style="398" width="15.2023205540125"/>
    <col customWidth="true" hidden="false" max="5" min="5" outlineLevel="0" style="398" width="13.9494352133279"/>
    <col customWidth="true" hidden="false" max="6" min="6" outlineLevel="0" style="398" width="18.8820504023871"/>
  </cols>
  <sheetData>
    <row hidden="false" ht="15.75" outlineLevel="0" r="2">
      <c r="A2" s="1533" t="n"/>
      <c r="B2" s="1533" t="n"/>
      <c r="D2" s="101" t="s">
        <v>175</v>
      </c>
    </row>
    <row hidden="false" ht="15.75" outlineLevel="0" r="3">
      <c r="A3" s="1533" t="n"/>
      <c r="B3" s="1533" t="n"/>
      <c r="D3" s="105" t="s">
        <v>176</v>
      </c>
    </row>
    <row hidden="false" ht="15.75" outlineLevel="0" r="4">
      <c r="A4" s="1533" t="n"/>
      <c r="B4" s="1533" t="n"/>
      <c r="D4" s="101" t="s">
        <v>226</v>
      </c>
    </row>
    <row hidden="false" ht="15.75" outlineLevel="0" r="5">
      <c r="A5" s="1533" t="n"/>
      <c r="B5" s="1533" t="n"/>
      <c r="D5" s="105" t="s">
        <v>178</v>
      </c>
    </row>
    <row hidden="false" ht="12.75" outlineLevel="0" r="6">
      <c r="A6" s="93" t="n"/>
      <c r="B6" s="93" t="n"/>
      <c r="C6" s="93" t="n"/>
    </row>
    <row customHeight="true" hidden="false" ht="45" outlineLevel="0" r="7">
      <c r="A7" s="403" t="s">
        <v>414</v>
      </c>
      <c r="B7" s="403" t="s"/>
      <c r="C7" s="403" t="s"/>
      <c r="D7" s="403" t="s"/>
      <c r="E7" s="403" t="s"/>
      <c r="F7" s="403" t="s"/>
    </row>
    <row customHeight="true" hidden="false" ht="15.75" outlineLevel="0" r="8">
      <c r="A8" s="4" t="n"/>
      <c r="B8" s="3763" t="s">
        <v>379</v>
      </c>
      <c r="C8" s="3763" t="s"/>
      <c r="D8" s="3763" t="s"/>
      <c r="E8" s="3763" t="s"/>
      <c r="F8" s="3763" t="s"/>
    </row>
    <row customHeight="true" hidden="false" ht="76.5" outlineLevel="0" r="9">
      <c r="A9" s="20" t="s">
        <v>239</v>
      </c>
      <c r="B9" s="129" t="s">
        <v>380</v>
      </c>
      <c r="C9" s="129" t="s">
        <v>415</v>
      </c>
      <c r="D9" s="129" t="s">
        <v>382</v>
      </c>
      <c r="E9" s="129" t="s">
        <v>383</v>
      </c>
      <c r="F9" s="129" t="s">
        <v>261</v>
      </c>
    </row>
    <row hidden="false" ht="15.75" outlineLevel="0" r="10">
      <c r="A10" s="211" t="n">
        <v>1</v>
      </c>
      <c r="B10" s="124" t="s">
        <v>385</v>
      </c>
      <c r="C10" s="124" t="n">
        <v>1500</v>
      </c>
      <c r="D10" s="124" t="n"/>
      <c r="E10" s="4946" t="n">
        <v>0.1</v>
      </c>
      <c r="F10" s="124" t="n">
        <f aca="false" ca="false" dt2D="false" dtr="false" t="normal">C10*E10</f>
        <v>150</v>
      </c>
    </row>
    <row hidden="false" ht="15.75" outlineLevel="0" r="11">
      <c r="A11" s="3724" t="n">
        <v>2</v>
      </c>
      <c r="B11" s="124" t="s">
        <v>387</v>
      </c>
      <c r="C11" s="124" t="n">
        <v>350</v>
      </c>
      <c r="D11" s="124" t="n"/>
      <c r="E11" s="4948" t="s"/>
      <c r="F11" s="124" t="n">
        <f aca="false" ca="false" dt2D="false" dtr="false" t="normal">C11*E10</f>
        <v>35</v>
      </c>
    </row>
    <row hidden="false" ht="15.75" outlineLevel="0" r="12">
      <c r="A12" s="3724" t="n">
        <v>3</v>
      </c>
      <c r="B12" s="124" t="s">
        <v>388</v>
      </c>
      <c r="C12" s="124" t="n">
        <v>205</v>
      </c>
      <c r="D12" s="124" t="n"/>
      <c r="E12" s="4950" t="s"/>
      <c r="F12" s="124" t="n">
        <f aca="false" ca="false" dt2D="false" dtr="false" t="normal">C12*E10</f>
        <v>20.5</v>
      </c>
    </row>
    <row hidden="false" ht="15.75" outlineLevel="0" r="13">
      <c r="A13" s="211" t="n">
        <v>4</v>
      </c>
      <c r="B13" s="124" t="s">
        <v>389</v>
      </c>
      <c r="C13" s="124" t="n">
        <v>600</v>
      </c>
      <c r="D13" s="124" t="n"/>
      <c r="E13" s="4951" t="s"/>
      <c r="F13" s="124" t="n">
        <f aca="false" ca="false" dt2D="false" dtr="false" t="normal">C13*E10</f>
        <v>60</v>
      </c>
    </row>
    <row hidden="false" ht="15.75" outlineLevel="0" r="14">
      <c r="A14" s="3724" t="n">
        <v>5</v>
      </c>
      <c r="B14" s="124" t="s">
        <v>390</v>
      </c>
      <c r="C14" s="124" t="n">
        <v>4000</v>
      </c>
      <c r="D14" s="124" t="n">
        <f aca="false" ca="false" dt2D="false" dtr="false" t="normal">C14*20%</f>
        <v>800</v>
      </c>
      <c r="E14" s="4957" t="s"/>
      <c r="F14" s="124" t="n">
        <f aca="false" ca="false" dt2D="false" dtr="false" t="normal">D14*E10</f>
        <v>80</v>
      </c>
    </row>
    <row hidden="false" ht="15.75" outlineLevel="0" r="15">
      <c r="A15" s="3724" t="n">
        <v>6</v>
      </c>
      <c r="B15" s="124" t="s">
        <v>392</v>
      </c>
      <c r="C15" s="124" t="n">
        <v>65000</v>
      </c>
      <c r="D15" s="124" t="n">
        <f aca="false" ca="false" dt2D="false" dtr="false" t="normal">C15*6.6%</f>
        <v>4290</v>
      </c>
      <c r="E15" s="4947" t="s"/>
      <c r="F15" s="124" t="n">
        <f aca="false" ca="false" dt2D="false" dtr="false" t="normal">D15*E10</f>
        <v>429</v>
      </c>
    </row>
    <row hidden="false" ht="15.75" outlineLevel="0" r="16">
      <c r="A16" s="211" t="n">
        <v>7</v>
      </c>
      <c r="B16" s="124" t="s">
        <v>377</v>
      </c>
      <c r="C16" s="124" t="n">
        <v>2500</v>
      </c>
      <c r="D16" s="124" t="n">
        <f aca="false" ca="false" dt2D="false" dtr="false" t="normal">C16*20%</f>
        <v>500</v>
      </c>
      <c r="E16" s="4949" t="s"/>
      <c r="F16" s="124" t="n">
        <f aca="false" ca="false" dt2D="false" dtr="false" t="normal">D16*E10</f>
        <v>50</v>
      </c>
    </row>
    <row hidden="false" ht="15.75" outlineLevel="0" r="17">
      <c r="A17" s="3768" t="n"/>
      <c r="B17" s="32" t="s">
        <v>183</v>
      </c>
      <c r="C17" s="124" t="n"/>
      <c r="D17" s="124" t="n"/>
      <c r="E17" s="124" t="n"/>
      <c r="F17" s="4952" t="n">
        <f aca="false" ca="false" dt2D="false" dtr="false" t="normal">SUM(F10:F16)</f>
        <v>824.5</v>
      </c>
    </row>
    <row hidden="false" ht="15.75" outlineLevel="0" r="18">
      <c r="A18" s="1764" t="n"/>
      <c r="B18" s="188" t="n"/>
      <c r="C18" s="4" t="n"/>
      <c r="D18" s="4" t="n"/>
      <c r="E18" s="4" t="n"/>
      <c r="F18" s="3771" t="n"/>
    </row>
    <row customHeight="true" hidden="false" ht="15.75" outlineLevel="0" r="19">
      <c r="A19" s="4" t="n"/>
      <c r="B19" s="444" t="s">
        <v>232</v>
      </c>
      <c r="C19" s="4953" t="s"/>
      <c r="D19" s="4954" t="s"/>
      <c r="E19" s="4955" t="s"/>
      <c r="F19" s="4956" t="s"/>
    </row>
    <row customHeight="true" hidden="false" ht="150.75" outlineLevel="0" r="20">
      <c r="A20" s="20" t="s">
        <v>239</v>
      </c>
      <c r="B20" s="129" t="s">
        <v>184</v>
      </c>
      <c r="C20" s="129" t="s">
        <v>233</v>
      </c>
      <c r="D20" s="129" t="s">
        <v>186</v>
      </c>
      <c r="E20" s="129" t="s">
        <v>187</v>
      </c>
      <c r="F20" s="129" t="s">
        <v>266</v>
      </c>
    </row>
    <row hidden="false" ht="15.75" outlineLevel="0" r="21">
      <c r="A21" s="20" t="n">
        <v>1</v>
      </c>
      <c r="B21" s="32" t="s">
        <v>362</v>
      </c>
      <c r="C21" s="95" t="n">
        <f aca="false" ca="false" dt2D="false" dtr="false" t="normal">68946*1.302</f>
        <v>89767.69200000001</v>
      </c>
      <c r="D21" s="95" t="n">
        <v>10080</v>
      </c>
      <c r="E21" s="95" t="n">
        <f aca="false" ca="false" dt2D="false" dtr="false" t="normal">60*2.5</f>
        <v>150</v>
      </c>
      <c r="F21" s="106" t="n">
        <f aca="false" ca="false" dt2D="false" dtr="false" t="normal">C21/D21*E21</f>
        <v>1335.8287500000001</v>
      </c>
    </row>
    <row hidden="false" ht="15.75" outlineLevel="0" r="22">
      <c r="A22" s="383" t="n"/>
      <c r="B22" s="32" t="s">
        <v>183</v>
      </c>
      <c r="C22" s="95" t="n"/>
      <c r="D22" s="95" t="n"/>
      <c r="E22" s="95" t="n"/>
      <c r="F22" s="136" t="n">
        <f aca="false" ca="false" dt2D="false" dtr="false" t="normal">SUM(F21)</f>
        <v>1335.8287500000001</v>
      </c>
    </row>
    <row customHeight="true" hidden="false" ht="37.5" outlineLevel="0" r="24">
      <c r="A24" s="3453" t="s">
        <v>416</v>
      </c>
      <c r="B24" s="3453" t="s"/>
      <c r="C24" s="3453" t="s"/>
      <c r="D24" s="3453" t="s"/>
      <c r="E24" s="3453" t="s"/>
      <c r="F24" s="3453" t="s"/>
    </row>
    <row customHeight="true" hidden="false" ht="31.5" outlineLevel="0" r="25">
      <c r="A25" s="20" t="s">
        <v>239</v>
      </c>
      <c r="B25" s="169" t="s">
        <v>191</v>
      </c>
      <c r="C25" s="4958" t="s"/>
      <c r="D25" s="3630" t="s">
        <v>192</v>
      </c>
      <c r="E25" s="3716" t="s">
        <v>261</v>
      </c>
    </row>
    <row customHeight="true" hidden="false" ht="55.5" outlineLevel="0" r="26">
      <c r="A26" s="20" t="n">
        <v>1</v>
      </c>
      <c r="B26" s="177" t="s">
        <v>393</v>
      </c>
      <c r="C26" s="4961" t="s"/>
      <c r="D26" s="3780" t="s">
        <v>394</v>
      </c>
      <c r="E26" s="434" t="n">
        <f aca="false" ca="false" dt2D="false" dtr="false" t="normal">F22</f>
        <v>1335.8287500000001</v>
      </c>
    </row>
    <row customHeight="true" hidden="false" ht="46.5" outlineLevel="0" r="27">
      <c r="A27" s="20" t="n">
        <v>2</v>
      </c>
      <c r="B27" s="177" t="s">
        <v>379</v>
      </c>
      <c r="C27" s="4959" t="s"/>
      <c r="D27" s="3785" t="s">
        <v>197</v>
      </c>
      <c r="E27" s="434" t="n">
        <f aca="false" ca="false" dt2D="false" dtr="false" t="normal">SUM(F17)</f>
        <v>824.5</v>
      </c>
    </row>
    <row customHeight="true" hidden="false" ht="53.25" outlineLevel="0" r="28">
      <c r="A28" s="20" t="n"/>
      <c r="B28" s="3782" t="s">
        <v>417</v>
      </c>
      <c r="C28" s="4960" t="s"/>
      <c r="D28" s="3785" t="s">
        <v>197</v>
      </c>
      <c r="E28" s="434" t="n">
        <f aca="false" ca="false" dt2D="false" dtr="false" t="normal">SUM(E26:E27)-10</f>
        <v>2150.32875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9">
    <mergeCell ref="A7:F7"/>
    <mergeCell ref="B8:F8"/>
    <mergeCell ref="E10:E16"/>
    <mergeCell ref="B19:F19"/>
    <mergeCell ref="A24:F24"/>
    <mergeCell ref="B25:C25"/>
    <mergeCell ref="B26:C26"/>
    <mergeCell ref="B27:C27"/>
    <mergeCell ref="B28:C28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2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F32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2" min="2" outlineLevel="0" style="398" width="21.979733553114"/>
    <col customWidth="true" hidden="false" max="3" min="3" outlineLevel="0" style="398" width="15.2023205540125"/>
    <col customWidth="true" hidden="false" max="4" min="4" outlineLevel="0" style="398" width="14.3637759718724"/>
    <col customWidth="true" hidden="false" max="5" min="5" outlineLevel="0" style="398" width="15.4884116936461"/>
    <col customWidth="true" hidden="false" max="6" min="6" outlineLevel="0" style="398" width="17.323345085308"/>
  </cols>
  <sheetData>
    <row hidden="false" ht="15.75" outlineLevel="0" r="2">
      <c r="A2" s="1533" t="n"/>
      <c r="B2" s="1533" t="n"/>
      <c r="D2" s="101" t="s">
        <v>175</v>
      </c>
    </row>
    <row hidden="false" ht="15.75" outlineLevel="0" r="3">
      <c r="A3" s="1533" t="n"/>
      <c r="B3" s="1533" t="n"/>
      <c r="D3" s="105" t="s">
        <v>176</v>
      </c>
    </row>
    <row hidden="false" ht="15.75" outlineLevel="0" r="4">
      <c r="A4" s="1533" t="n"/>
      <c r="B4" s="1533" t="n"/>
      <c r="D4" s="101" t="s">
        <v>226</v>
      </c>
    </row>
    <row hidden="false" ht="15.75" outlineLevel="0" r="5">
      <c r="A5" s="1533" t="n"/>
      <c r="B5" s="1533" t="n"/>
      <c r="D5" s="105" t="s">
        <v>178</v>
      </c>
    </row>
    <row hidden="false" ht="12.75" outlineLevel="0" r="6">
      <c r="A6" s="93" t="n"/>
      <c r="B6" s="93" t="n"/>
      <c r="C6" s="93" t="n"/>
    </row>
    <row customHeight="true" hidden="false" ht="50.4500007629395" outlineLevel="0" r="7">
      <c r="A7" s="403" t="s">
        <v>418</v>
      </c>
      <c r="B7" s="403" t="s"/>
      <c r="C7" s="403" t="s"/>
      <c r="D7" s="403" t="s"/>
      <c r="E7" s="403" t="s"/>
      <c r="F7" s="403" t="s"/>
    </row>
    <row customHeight="true" hidden="false" ht="15.75" outlineLevel="0" r="8">
      <c r="A8" s="4" t="n"/>
      <c r="B8" s="3763" t="s">
        <v>379</v>
      </c>
      <c r="C8" s="3763" t="s"/>
      <c r="D8" s="3763" t="s"/>
      <c r="E8" s="3763" t="s"/>
      <c r="F8" s="3763" t="s"/>
    </row>
    <row hidden="false" ht="47.25" outlineLevel="0" r="9">
      <c r="A9" s="20" t="s">
        <v>239</v>
      </c>
      <c r="B9" s="129" t="s">
        <v>380</v>
      </c>
      <c r="C9" s="129" t="s">
        <v>415</v>
      </c>
      <c r="D9" s="129" t="s">
        <v>382</v>
      </c>
      <c r="E9" s="129" t="s">
        <v>383</v>
      </c>
      <c r="F9" s="129" t="s">
        <v>261</v>
      </c>
    </row>
    <row hidden="false" ht="15.75" outlineLevel="0" r="10">
      <c r="A10" s="211" t="n">
        <v>1</v>
      </c>
      <c r="B10" s="124" t="s">
        <v>385</v>
      </c>
      <c r="C10" s="124" t="n">
        <v>1500</v>
      </c>
      <c r="D10" s="124" t="n"/>
      <c r="E10" s="3765" t="n">
        <v>0.1</v>
      </c>
      <c r="F10" s="124" t="n">
        <f aca="false" ca="false" dt2D="false" dtr="false" t="normal">C10*E10</f>
        <v>150</v>
      </c>
    </row>
    <row hidden="false" ht="15.75" outlineLevel="0" r="11">
      <c r="A11" s="3724" t="n">
        <v>2</v>
      </c>
      <c r="B11" s="124" t="s">
        <v>387</v>
      </c>
      <c r="C11" s="124" t="n">
        <v>350</v>
      </c>
      <c r="D11" s="124" t="n"/>
      <c r="E11" s="4963" t="s"/>
      <c r="F11" s="124" t="n">
        <f aca="false" ca="false" dt2D="false" dtr="false" t="normal">C11*E10</f>
        <v>35</v>
      </c>
    </row>
    <row hidden="false" ht="15.75" outlineLevel="0" r="12">
      <c r="A12" s="3724" t="n">
        <v>3</v>
      </c>
      <c r="B12" s="124" t="s">
        <v>388</v>
      </c>
      <c r="C12" s="124" t="n">
        <v>205</v>
      </c>
      <c r="D12" s="124" t="n"/>
      <c r="E12" s="4964" t="s"/>
      <c r="F12" s="124" t="n">
        <f aca="false" ca="false" dt2D="false" dtr="false" t="normal">C12*E10</f>
        <v>20.5</v>
      </c>
    </row>
    <row hidden="false" ht="15.75" outlineLevel="0" r="13">
      <c r="A13" s="211" t="n">
        <v>4</v>
      </c>
      <c r="B13" s="124" t="s">
        <v>389</v>
      </c>
      <c r="C13" s="124" t="n">
        <v>600</v>
      </c>
      <c r="D13" s="124" t="n"/>
      <c r="E13" s="4969" t="s"/>
      <c r="F13" s="124" t="n">
        <f aca="false" ca="false" dt2D="false" dtr="false" t="normal">C13*E10</f>
        <v>60</v>
      </c>
    </row>
    <row hidden="false" ht="15.75" outlineLevel="0" r="14">
      <c r="A14" s="3724" t="n">
        <v>5</v>
      </c>
      <c r="B14" s="124" t="s">
        <v>390</v>
      </c>
      <c r="C14" s="124" t="n">
        <v>4000</v>
      </c>
      <c r="D14" s="124" t="n">
        <f aca="false" ca="false" dt2D="false" dtr="false" t="normal">C14*20%</f>
        <v>800</v>
      </c>
      <c r="E14" s="4971" t="s"/>
      <c r="F14" s="124" t="n">
        <f aca="false" ca="false" dt2D="false" dtr="false" t="normal">D14*E10</f>
        <v>80</v>
      </c>
    </row>
    <row hidden="false" ht="15.75" outlineLevel="0" r="15">
      <c r="A15" s="3724" t="n">
        <v>6</v>
      </c>
      <c r="B15" s="124" t="s">
        <v>392</v>
      </c>
      <c r="C15" s="124" t="n">
        <v>65000</v>
      </c>
      <c r="D15" s="124" t="n">
        <f aca="false" ca="false" dt2D="false" dtr="false" t="normal">C15*6.6%</f>
        <v>4290</v>
      </c>
      <c r="E15" s="4972" t="s"/>
      <c r="F15" s="124" t="n">
        <f aca="false" ca="false" dt2D="false" dtr="false" t="normal">D15*E10</f>
        <v>429</v>
      </c>
    </row>
    <row hidden="false" ht="15.75" outlineLevel="0" r="16">
      <c r="A16" s="211" t="n">
        <v>7</v>
      </c>
      <c r="B16" s="124" t="s">
        <v>377</v>
      </c>
      <c r="C16" s="124" t="n">
        <v>2500</v>
      </c>
      <c r="D16" s="124" t="n">
        <f aca="false" ca="false" dt2D="false" dtr="false" t="normal">C16*20%</f>
        <v>500</v>
      </c>
      <c r="E16" s="4976" t="s"/>
      <c r="F16" s="124" t="n">
        <f aca="false" ca="false" dt2D="false" dtr="false" t="normal">D16*E10</f>
        <v>50</v>
      </c>
    </row>
    <row hidden="false" ht="15.75" outlineLevel="0" r="17">
      <c r="A17" s="3724" t="n">
        <v>8</v>
      </c>
      <c r="B17" s="124" t="s">
        <v>386</v>
      </c>
      <c r="C17" s="124" t="n">
        <v>110000</v>
      </c>
      <c r="D17" s="124" t="n">
        <f aca="false" ca="false" dt2D="false" dtr="false" t="normal">C17*5%</f>
        <v>5500</v>
      </c>
      <c r="E17" s="4962" t="s"/>
      <c r="F17" s="124" t="n">
        <f aca="false" ca="false" dt2D="false" dtr="false" t="normal">D17*E10</f>
        <v>550</v>
      </c>
    </row>
    <row hidden="false" ht="15.75" outlineLevel="0" r="18">
      <c r="A18" s="3768" t="n"/>
      <c r="B18" s="32" t="s">
        <v>183</v>
      </c>
      <c r="C18" s="124" t="n"/>
      <c r="D18" s="124" t="n"/>
      <c r="E18" s="124" t="n"/>
      <c r="F18" s="4952" t="n">
        <f aca="false" ca="false" dt2D="false" dtr="false" t="normal">SUM(F10:F17)</f>
        <v>1374.5</v>
      </c>
    </row>
    <row hidden="false" ht="15.75" outlineLevel="0" r="19">
      <c r="A19" s="1764" t="n"/>
      <c r="B19" s="188" t="n"/>
      <c r="C19" s="4" t="n"/>
      <c r="D19" s="4" t="n"/>
      <c r="E19" s="4" t="n"/>
      <c r="F19" s="3771" t="n"/>
    </row>
    <row customHeight="true" hidden="false" ht="15.75" outlineLevel="0" r="20">
      <c r="A20" s="4" t="n"/>
      <c r="B20" s="444" t="s">
        <v>232</v>
      </c>
      <c r="C20" s="4965" t="s"/>
      <c r="D20" s="4966" t="s"/>
      <c r="E20" s="4967" t="s"/>
      <c r="F20" s="4968" t="s"/>
    </row>
    <row hidden="false" ht="141.75" outlineLevel="0" r="21">
      <c r="A21" s="20" t="s">
        <v>11</v>
      </c>
      <c r="B21" s="129" t="s">
        <v>184</v>
      </c>
      <c r="C21" s="129" t="s">
        <v>233</v>
      </c>
      <c r="D21" s="129" t="s">
        <v>186</v>
      </c>
      <c r="E21" s="129" t="s">
        <v>187</v>
      </c>
      <c r="F21" s="129" t="s">
        <v>266</v>
      </c>
    </row>
    <row hidden="false" ht="15.75" outlineLevel="0" r="22">
      <c r="A22" s="4970" t="s">
        <v>419</v>
      </c>
      <c r="B22" s="32" t="s">
        <v>420</v>
      </c>
      <c r="C22" s="95" t="n">
        <f aca="false" ca="false" dt2D="false" dtr="false" t="normal">67733*1.13</f>
        <v>76538.29</v>
      </c>
      <c r="D22" s="95" t="n">
        <v>10080</v>
      </c>
      <c r="E22" s="95" t="n">
        <f aca="false" ca="false" dt2D="false" dtr="false" t="normal">6.3*60</f>
        <v>378</v>
      </c>
      <c r="F22" s="106" t="n">
        <f aca="false" ca="false" dt2D="false" dtr="false" t="normal">C22/D22*E22</f>
        <v>2870.1858749999997</v>
      </c>
    </row>
    <row hidden="false" ht="15.75" outlineLevel="0" r="23">
      <c r="A23" s="383" t="n"/>
      <c r="B23" s="32" t="s">
        <v>183</v>
      </c>
      <c r="C23" s="95" t="n"/>
      <c r="D23" s="95" t="n"/>
      <c r="E23" s="95" t="n"/>
      <c r="F23" s="250" t="n">
        <f aca="false" ca="false" dt2D="false" dtr="false" t="normal">SUM(F22)</f>
        <v>2870.1858749999997</v>
      </c>
    </row>
    <row customHeight="true" hidden="false" ht="58.5" outlineLevel="0" r="25">
      <c r="A25" s="3711" t="s">
        <v>421</v>
      </c>
      <c r="B25" s="4973" t="s"/>
      <c r="C25" s="4974" t="s"/>
      <c r="D25" s="4975" t="s"/>
      <c r="E25" s="4977" t="s"/>
    </row>
    <row customHeight="true" hidden="false" ht="31.5" outlineLevel="0" r="26">
      <c r="A26" s="124" t="s">
        <v>239</v>
      </c>
      <c r="B26" s="169" t="s">
        <v>191</v>
      </c>
      <c r="C26" s="4978" t="s"/>
      <c r="D26" s="3630" t="s">
        <v>192</v>
      </c>
      <c r="E26" s="3716" t="s">
        <v>261</v>
      </c>
    </row>
    <row customHeight="true" hidden="false" ht="31.5" outlineLevel="0" r="27">
      <c r="A27" s="20" t="n">
        <v>1</v>
      </c>
      <c r="B27" s="177" t="s">
        <v>393</v>
      </c>
      <c r="C27" s="4979" t="s"/>
      <c r="D27" s="3780" t="s">
        <v>394</v>
      </c>
      <c r="E27" s="434" t="n">
        <f aca="false" ca="false" dt2D="false" dtr="false" t="normal">F23</f>
        <v>2870.1858749999997</v>
      </c>
    </row>
    <row customHeight="true" hidden="false" ht="30.75" outlineLevel="0" r="28">
      <c r="A28" s="20" t="n">
        <v>2</v>
      </c>
      <c r="B28" s="177" t="s">
        <v>379</v>
      </c>
      <c r="C28" s="4980" t="s"/>
      <c r="D28" s="3785" t="s">
        <v>197</v>
      </c>
      <c r="E28" s="434" t="n">
        <f aca="false" ca="false" dt2D="false" dtr="false" t="normal">SUM(F18)</f>
        <v>1374.5</v>
      </c>
    </row>
    <row customHeight="true" hidden="false" ht="29.25" outlineLevel="0" r="29">
      <c r="A29" s="163" t="n">
        <v>3</v>
      </c>
      <c r="B29" s="3782" t="s">
        <v>422</v>
      </c>
      <c r="C29" s="4981" t="s"/>
      <c r="D29" s="3785" t="s">
        <v>197</v>
      </c>
      <c r="E29" s="434" t="n">
        <f aca="false" ca="false" dt2D="false" dtr="false" t="normal">SUM(E27:E28)-21.21</f>
        <v>4223.475874999999</v>
      </c>
    </row>
    <row customHeight="true" hidden="false" ht="29.25" outlineLevel="0" r="30">
      <c r="A30" s="163" t="n">
        <v>4</v>
      </c>
      <c r="B30" s="3782" t="s">
        <v>423</v>
      </c>
      <c r="C30" s="4983" t="s"/>
      <c r="D30" s="3785" t="s">
        <v>197</v>
      </c>
      <c r="E30" s="434" t="n">
        <f aca="false" ca="false" dt2D="false" dtr="false" t="normal">SUM(E29*0.22)</f>
        <v>929.1646924999998</v>
      </c>
    </row>
    <row customHeight="true" hidden="false" ht="30.75" outlineLevel="0" r="31">
      <c r="A31" s="20" t="n"/>
      <c r="B31" s="3782" t="s">
        <v>395</v>
      </c>
      <c r="C31" s="4982" t="s"/>
      <c r="D31" s="3785" t="s">
        <v>197</v>
      </c>
      <c r="E31" s="434" t="n">
        <f aca="false" ca="false" dt2D="false" dtr="false" t="normal">SUM(E29:E30)-53</f>
        <v>5099.640567499999</v>
      </c>
    </row>
    <row customHeight="true" hidden="false" ht="34.5" outlineLevel="0" r="32">
      <c r="A32" s="20" t="n"/>
      <c r="B32" s="3782" t="s">
        <v>424</v>
      </c>
      <c r="C32" s="4984" t="s"/>
      <c r="D32" s="3785" t="s">
        <v>197</v>
      </c>
      <c r="E32" s="434" t="n">
        <f aca="false" ca="false" dt2D="false" dtr="false" t="normal">SUM(E31/10*15)-199</f>
        <v>7450.460851249998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2">
    <mergeCell ref="A7:F7"/>
    <mergeCell ref="B8:F8"/>
    <mergeCell ref="E10:E17"/>
    <mergeCell ref="B20:F20"/>
    <mergeCell ref="A25:E25"/>
    <mergeCell ref="B26:C26"/>
    <mergeCell ref="B27:C27"/>
    <mergeCell ref="B28:C28"/>
    <mergeCell ref="B29:C29"/>
    <mergeCell ref="B30:C30"/>
    <mergeCell ref="B31:C31"/>
    <mergeCell ref="B32:C32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28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22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" min="1" outlineLevel="0" style="398" width="6.19536494812434"/>
    <col customWidth="true" hidden="false" max="2" min="2" outlineLevel="0" style="398" width="37.4780096651406"/>
    <col customWidth="true" hidden="false" max="3" min="3" outlineLevel="0" style="398" width="16.1987080102048"/>
    <col customWidth="true" hidden="false" max="4" min="4" outlineLevel="0" style="398" width="20.1349357430718"/>
    <col customWidth="true" hidden="false" max="5" min="5" outlineLevel="0" style="398" width="15.4884116936461"/>
    <col customWidth="true" hidden="false" max="6" min="6" outlineLevel="0" style="398" width="21.979733553114"/>
  </cols>
  <sheetData>
    <row hidden="false" ht="15.75" outlineLevel="0" r="1">
      <c r="D1" s="101" t="s">
        <v>175</v>
      </c>
    </row>
    <row hidden="false" ht="15.75" outlineLevel="0" r="2">
      <c r="D2" s="105" t="s">
        <v>176</v>
      </c>
    </row>
    <row hidden="false" ht="15.75" outlineLevel="0" r="3">
      <c r="D3" s="101" t="s">
        <v>226</v>
      </c>
    </row>
    <row hidden="false" ht="15.75" outlineLevel="0" r="4">
      <c r="D4" s="105" t="s">
        <v>178</v>
      </c>
    </row>
    <row hidden="false" ht="15.75" outlineLevel="0" r="5">
      <c r="D5" s="105" t="n"/>
    </row>
    <row customHeight="true" hidden="false" ht="43.5" outlineLevel="0" r="6">
      <c r="A6" s="403" t="s">
        <v>426</v>
      </c>
      <c r="B6" s="403" t="s"/>
      <c r="C6" s="403" t="s"/>
      <c r="D6" s="403" t="s"/>
      <c r="E6" s="403" t="s"/>
      <c r="F6" s="403" t="s"/>
    </row>
    <row customHeight="true" hidden="false" ht="131.25" outlineLevel="0" r="7">
      <c r="A7" s="4986" t="n"/>
      <c r="B7" s="259" t="s">
        <v>184</v>
      </c>
      <c r="C7" s="259" t="s">
        <v>233</v>
      </c>
      <c r="D7" s="259" t="s">
        <v>186</v>
      </c>
      <c r="E7" s="129" t="s">
        <v>187</v>
      </c>
      <c r="F7" s="129" t="s">
        <v>266</v>
      </c>
    </row>
    <row hidden="false" ht="15.75" outlineLevel="0" r="8">
      <c r="A8" s="159" t="n">
        <v>1</v>
      </c>
      <c r="B8" s="4987" t="s">
        <v>427</v>
      </c>
      <c r="C8" s="225" t="n">
        <f aca="false" ca="false" dt2D="false" dtr="false" t="normal">67733*1.13</f>
        <v>76538.29</v>
      </c>
      <c r="D8" s="225" t="n">
        <v>10080</v>
      </c>
      <c r="E8" s="225" t="n">
        <f aca="false" ca="false" dt2D="false" dtr="false" t="normal">60*3.35</f>
        <v>201</v>
      </c>
      <c r="F8" s="225" t="n">
        <f aca="false" ca="false" dt2D="false" dtr="false" t="normal">C8/D8*E8</f>
        <v>1526.2099494047618</v>
      </c>
    </row>
    <row hidden="false" ht="15.75" outlineLevel="0" r="9">
      <c r="A9" s="1185" t="n"/>
      <c r="B9" s="4987" t="s">
        <v>183</v>
      </c>
      <c r="C9" s="225" t="n"/>
      <c r="D9" s="225" t="n"/>
      <c r="E9" s="225" t="n"/>
      <c r="F9" s="4988" t="n">
        <f aca="false" ca="false" dt2D="false" dtr="false" t="normal">SUM(F8)</f>
        <v>1526.2099494047618</v>
      </c>
    </row>
    <row hidden="false" ht="15.75" outlineLevel="0" r="10">
      <c r="A10" s="195" t="n"/>
      <c r="B10" s="3253" t="n"/>
      <c r="C10" s="3253" t="n"/>
      <c r="D10" s="3253" t="n"/>
      <c r="E10" s="3253" t="n"/>
      <c r="F10" s="3253" t="n"/>
    </row>
    <row hidden="false" ht="31.5" outlineLevel="0" r="11">
      <c r="A11" s="1185" t="n"/>
      <c r="B11" s="4991" t="s">
        <v>12</v>
      </c>
      <c r="C11" s="4992" t="s">
        <v>429</v>
      </c>
      <c r="D11" s="4992" t="s">
        <v>382</v>
      </c>
      <c r="E11" s="4992" t="s">
        <v>430</v>
      </c>
      <c r="F11" s="4992" t="s">
        <v>431</v>
      </c>
    </row>
    <row hidden="false" ht="15.75" outlineLevel="0" r="12">
      <c r="A12" s="159" t="n">
        <v>1</v>
      </c>
      <c r="B12" s="4985" t="s">
        <v>425</v>
      </c>
      <c r="C12" s="4985" t="n">
        <f aca="false" ca="false" dt2D="false" dtr="false" t="normal">98000</f>
        <v>98000</v>
      </c>
      <c r="D12" s="4985" t="n">
        <f aca="false" ca="false" dt2D="false" dtr="false" t="normal">C12*6.6%</f>
        <v>6468</v>
      </c>
      <c r="E12" s="33" t="n">
        <v>5</v>
      </c>
      <c r="F12" s="4985" t="n">
        <f aca="false" ca="false" dt2D="false" dtr="false" t="normal">D12*E12/100</f>
        <v>323.4</v>
      </c>
    </row>
    <row hidden="false" ht="15.75" outlineLevel="0" r="13">
      <c r="A13" s="159" t="n">
        <v>2</v>
      </c>
      <c r="B13" s="3314" t="s">
        <v>428</v>
      </c>
      <c r="C13" s="4985" t="n">
        <f aca="false" ca="false" dt2D="false" dtr="false" t="normal">507350</f>
        <v>507350</v>
      </c>
      <c r="D13" s="4985" t="n">
        <f aca="false" ca="false" dt2D="false" dtr="false" t="normal">C13*6.6%</f>
        <v>33485.1</v>
      </c>
      <c r="E13" s="33" t="n">
        <v>5</v>
      </c>
      <c r="F13" s="4985" t="n">
        <f aca="false" ca="false" dt2D="false" dtr="false" t="normal">D13*E13/100</f>
        <v>1674.255</v>
      </c>
    </row>
    <row hidden="false" ht="15.75" outlineLevel="0" r="14">
      <c r="A14" s="1185" t="n"/>
      <c r="B14" s="4985" t="n"/>
      <c r="C14" s="4985" t="n"/>
      <c r="D14" s="4985" t="n"/>
      <c r="E14" s="4989" t="n"/>
      <c r="F14" s="4990" t="n">
        <f aca="false" ca="false" dt2D="false" dtr="false" t="normal">SUM(F12:F13)</f>
        <v>1997.6550000000002</v>
      </c>
    </row>
    <row hidden="false" ht="15.75" outlineLevel="0" r="15">
      <c r="A15" s="195" t="n"/>
      <c r="B15" s="3253" t="n"/>
      <c r="C15" s="3253" t="n"/>
      <c r="D15" s="3253" t="n"/>
      <c r="E15" s="4993" t="n"/>
      <c r="F15" s="4994" t="n"/>
    </row>
    <row customHeight="true" hidden="false" ht="45" outlineLevel="0" r="16">
      <c r="A16" s="3711" t="s">
        <v>432</v>
      </c>
      <c r="B16" s="4995" t="s"/>
      <c r="C16" s="4997" t="s"/>
      <c r="D16" s="4998" t="s"/>
      <c r="E16" s="4999" t="n"/>
      <c r="F16" s="5001" t="n"/>
    </row>
    <row hidden="false" ht="31.5" outlineLevel="0" r="17">
      <c r="A17" s="124" t="n"/>
      <c r="B17" s="4996" t="s">
        <v>191</v>
      </c>
      <c r="C17" s="4996" t="s">
        <v>192</v>
      </c>
      <c r="D17" s="5000" t="s">
        <v>221</v>
      </c>
      <c r="E17" s="4999" t="n"/>
      <c r="F17" s="4999" t="n"/>
    </row>
    <row hidden="false" ht="47.25" outlineLevel="0" r="18">
      <c r="A18" s="20" t="n">
        <v>1</v>
      </c>
      <c r="B18" s="5002" t="s">
        <v>364</v>
      </c>
      <c r="C18" s="4993" t="s">
        <v>197</v>
      </c>
      <c r="D18" s="3750" t="n">
        <f aca="false" ca="false" dt2D="false" dtr="false" t="normal">F9</f>
        <v>1526.2099494047618</v>
      </c>
      <c r="E18" s="4999" t="n"/>
      <c r="F18" s="4999" t="n"/>
    </row>
    <row hidden="false" ht="15.75" outlineLevel="0" r="19">
      <c r="A19" s="3132" t="n">
        <v>2</v>
      </c>
      <c r="B19" s="5004" t="s">
        <v>434</v>
      </c>
      <c r="C19" s="5006" t="s">
        <v>197</v>
      </c>
      <c r="D19" s="184" t="n">
        <f aca="false" ca="false" dt2D="false" dtr="false" t="normal">F14</f>
        <v>1997.6550000000002</v>
      </c>
      <c r="E19" s="4999" t="n"/>
      <c r="F19" s="4999" t="n"/>
    </row>
    <row hidden="false" ht="15.75" outlineLevel="0" r="20">
      <c r="A20" s="3132" t="n">
        <v>3</v>
      </c>
      <c r="B20" s="5002" t="s">
        <v>433</v>
      </c>
      <c r="C20" s="5003" t="n"/>
      <c r="D20" s="3728" t="n">
        <f aca="false" ca="false" dt2D="false" dtr="false" t="normal">SUM(D18:D19)</f>
        <v>3523.8649494047622</v>
      </c>
      <c r="E20" s="4999" t="n"/>
      <c r="F20" s="4999" t="n"/>
    </row>
    <row hidden="false" ht="15.75" outlineLevel="0" r="21">
      <c r="A21" s="20" t="n">
        <v>4</v>
      </c>
      <c r="B21" s="5005" t="s">
        <v>208</v>
      </c>
      <c r="C21" s="5003" t="n"/>
      <c r="D21" s="3728" t="n">
        <f aca="false" ca="false" dt2D="false" dtr="false" t="normal">SUM(D20*0.22)</f>
        <v>775.2502888690477</v>
      </c>
      <c r="E21" s="4999" t="n"/>
      <c r="F21" s="4999" t="n"/>
    </row>
    <row hidden="false" ht="15.75" outlineLevel="0" r="22">
      <c r="A22" s="20" t="n"/>
      <c r="B22" s="5005" t="s">
        <v>435</v>
      </c>
      <c r="C22" s="24" t="n"/>
      <c r="D22" s="567" t="n">
        <f aca="false" ca="false" dt2D="false" dtr="false" t="normal">SUM(D20:D21)-49</f>
        <v>4250.11523827381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2">
    <mergeCell ref="A6:F6"/>
    <mergeCell ref="A16:D16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xl/worksheets/sheet29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24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2" min="2" outlineLevel="0" style="398" width="22.8281425536346"/>
    <col customWidth="true" hidden="false" max="3" min="3" outlineLevel="0" style="398" width="26.774234704882"/>
    <col customWidth="true" hidden="false" max="4" min="4" outlineLevel="0" style="398" width="21.979733553114"/>
    <col customWidth="true" hidden="false" max="5" min="5" outlineLevel="0" style="398" width="16.0605953262429"/>
    <col customWidth="true" hidden="false" max="6" min="6" outlineLevel="0" style="398" width="22.3940729583291"/>
  </cols>
  <sheetData>
    <row hidden="false" ht="15.75" outlineLevel="0" r="1">
      <c r="D1" s="101" t="s">
        <v>175</v>
      </c>
    </row>
    <row hidden="false" ht="15.75" outlineLevel="0" r="2">
      <c r="D2" s="105" t="s">
        <v>176</v>
      </c>
    </row>
    <row hidden="false" ht="15.75" outlineLevel="0" r="3">
      <c r="D3" s="101" t="s">
        <v>226</v>
      </c>
    </row>
    <row hidden="false" ht="15.75" outlineLevel="0" r="4">
      <c r="D4" s="105" t="s">
        <v>178</v>
      </c>
    </row>
    <row hidden="false" ht="15.75" outlineLevel="0" r="5">
      <c r="D5" s="105" t="n"/>
    </row>
    <row customHeight="true" hidden="false" ht="53.25" outlineLevel="0" r="6">
      <c r="A6" s="403" t="s">
        <v>436</v>
      </c>
      <c r="B6" s="403" t="s"/>
      <c r="C6" s="403" t="s"/>
      <c r="D6" s="403" t="s"/>
      <c r="E6" s="403" t="s"/>
      <c r="F6" s="403" t="s"/>
    </row>
    <row hidden="false" ht="94.5" outlineLevel="0" r="7">
      <c r="A7" s="4986" t="n"/>
      <c r="B7" s="259" t="s">
        <v>184</v>
      </c>
      <c r="C7" s="259" t="s">
        <v>233</v>
      </c>
      <c r="D7" s="259" t="s">
        <v>186</v>
      </c>
      <c r="E7" s="129" t="s">
        <v>437</v>
      </c>
      <c r="F7" s="129" t="s">
        <v>266</v>
      </c>
    </row>
    <row customHeight="true" hidden="false" ht="18" outlineLevel="0" r="8">
      <c r="A8" s="159" t="n">
        <v>1</v>
      </c>
      <c r="B8" s="4987" t="s">
        <v>427</v>
      </c>
      <c r="C8" s="225" t="n">
        <f aca="false" ca="false" dt2D="false" dtr="false" t="normal">67733*1.13</f>
        <v>76538.29</v>
      </c>
      <c r="D8" s="225" t="n">
        <v>10080</v>
      </c>
      <c r="E8" s="381" t="n">
        <v>480</v>
      </c>
      <c r="F8" s="225" t="n">
        <f aca="false" ca="false" dt2D="false" dtr="false" t="normal">C8/D8*E8</f>
        <v>3644.6804761904755</v>
      </c>
    </row>
    <row hidden="false" ht="15.75" outlineLevel="0" r="9">
      <c r="A9" s="1185" t="n"/>
      <c r="B9" s="4987" t="s">
        <v>183</v>
      </c>
      <c r="C9" s="225" t="n"/>
      <c r="D9" s="225" t="n"/>
      <c r="E9" s="225" t="n"/>
      <c r="F9" s="4988" t="n">
        <f aca="false" ca="false" dt2D="false" dtr="false" t="normal">SUM(F8)</f>
        <v>3644.6804761904755</v>
      </c>
    </row>
    <row hidden="false" ht="15.75" outlineLevel="0" r="10">
      <c r="A10" s="195" t="n"/>
      <c r="B10" s="3253" t="n"/>
      <c r="C10" s="3253" t="n"/>
      <c r="D10" s="3253" t="n"/>
      <c r="E10" s="3253" t="n"/>
      <c r="F10" s="3253" t="n"/>
    </row>
    <row hidden="false" ht="31.5" outlineLevel="0" r="11">
      <c r="A11" s="1185" t="n"/>
      <c r="B11" s="4991" t="s">
        <v>12</v>
      </c>
      <c r="C11" s="4992" t="s">
        <v>429</v>
      </c>
      <c r="D11" s="4992" t="s">
        <v>382</v>
      </c>
      <c r="E11" s="4992" t="s">
        <v>430</v>
      </c>
      <c r="F11" s="4992" t="s">
        <v>431</v>
      </c>
    </row>
    <row hidden="false" ht="15.75" outlineLevel="0" r="12">
      <c r="A12" s="95" t="n">
        <v>1</v>
      </c>
      <c r="B12" s="4985" t="s">
        <v>425</v>
      </c>
      <c r="C12" s="4989" t="n">
        <v>1417979</v>
      </c>
      <c r="D12" s="4989" t="n">
        <f aca="false" ca="false" dt2D="false" dtr="false" t="normal">C12*6.6%</f>
        <v>93586.614</v>
      </c>
      <c r="E12" s="33" t="n">
        <v>5</v>
      </c>
      <c r="F12" s="285" t="n">
        <f aca="false" ca="false" dt2D="false" dtr="false" t="normal">D12*E12/100</f>
        <v>4679.3307</v>
      </c>
    </row>
    <row hidden="false" ht="31.5" outlineLevel="0" r="13">
      <c r="A13" s="95" t="n">
        <v>2</v>
      </c>
      <c r="B13" s="3314" t="s">
        <v>428</v>
      </c>
      <c r="C13" s="4989" t="n">
        <f aca="false" ca="false" dt2D="false" dtr="false" t="normal">507350*2.579</f>
        <v>1308455.6500000001</v>
      </c>
      <c r="D13" s="4989" t="n">
        <f aca="false" ca="false" dt2D="false" dtr="false" t="normal">C13*6.6%</f>
        <v>86358.07290000001</v>
      </c>
      <c r="E13" s="33" t="n">
        <v>5</v>
      </c>
      <c r="F13" s="285" t="n">
        <f aca="false" ca="false" dt2D="false" dtr="false" t="normal">D13*E13/100</f>
        <v>4317.903645000001</v>
      </c>
    </row>
    <row hidden="false" ht="15.75" outlineLevel="0" r="14">
      <c r="A14" s="1185" t="n"/>
      <c r="B14" s="4985" t="n"/>
      <c r="C14" s="4985" t="n"/>
      <c r="D14" s="4985" t="n"/>
      <c r="E14" s="4989" t="n"/>
      <c r="F14" s="4990" t="n">
        <f aca="false" ca="false" dt2D="false" dtr="false" t="normal">SUM(F12:F13)</f>
        <v>8997.234345</v>
      </c>
    </row>
    <row hidden="false" ht="15.75" outlineLevel="0" r="15">
      <c r="A15" s="195" t="n"/>
      <c r="B15" s="3253" t="n"/>
      <c r="C15" s="3253" t="n"/>
      <c r="D15" s="3253" t="n"/>
      <c r="E15" s="4993" t="n"/>
      <c r="F15" s="4994" t="n"/>
    </row>
    <row customHeight="true" hidden="false" ht="48" outlineLevel="0" r="16">
      <c r="A16" s="3711" t="s">
        <v>438</v>
      </c>
      <c r="B16" s="5007" t="s"/>
      <c r="C16" s="5008" t="s"/>
      <c r="D16" s="5009" t="s"/>
      <c r="E16" s="4999" t="n"/>
      <c r="F16" s="5001" t="n"/>
    </row>
    <row hidden="false" ht="31.5" outlineLevel="0" r="17">
      <c r="A17" s="124" t="n"/>
      <c r="B17" s="4996" t="s">
        <v>191</v>
      </c>
      <c r="C17" s="4996" t="s">
        <v>192</v>
      </c>
      <c r="D17" s="5000" t="s">
        <v>221</v>
      </c>
      <c r="E17" s="4999" t="n"/>
      <c r="F17" s="4999" t="n"/>
    </row>
    <row hidden="false" ht="63" outlineLevel="0" r="18">
      <c r="A18" s="20" t="n">
        <v>1</v>
      </c>
      <c r="B18" s="5010" t="s">
        <v>364</v>
      </c>
      <c r="C18" s="5011" t="s">
        <v>197</v>
      </c>
      <c r="D18" s="434" t="n">
        <f aca="false" ca="false" dt2D="false" dtr="false" t="normal">F9</f>
        <v>3644.6804761904755</v>
      </c>
      <c r="E18" s="4999" t="n"/>
      <c r="F18" s="4999" t="n"/>
    </row>
    <row hidden="false" ht="31.5" outlineLevel="0" r="19">
      <c r="A19" s="3132" t="n">
        <v>2</v>
      </c>
      <c r="B19" s="5012" t="s">
        <v>434</v>
      </c>
      <c r="C19" s="5000" t="s">
        <v>197</v>
      </c>
      <c r="D19" s="3728" t="n">
        <f aca="false" ca="false" dt2D="false" dtr="false" t="normal">F14</f>
        <v>8997.234345</v>
      </c>
      <c r="E19" s="4999" t="n"/>
      <c r="F19" s="4999" t="n"/>
    </row>
    <row hidden="false" ht="47.25" outlineLevel="0" r="20">
      <c r="A20" s="3132" t="n">
        <v>3</v>
      </c>
      <c r="B20" s="5010" t="s">
        <v>433</v>
      </c>
      <c r="C20" s="5000" t="s">
        <v>197</v>
      </c>
      <c r="D20" s="3728" t="n">
        <f aca="false" ca="false" dt2D="false" dtr="false" t="normal">SUM(D18:D19)</f>
        <v>12641.914821190476</v>
      </c>
      <c r="E20" s="4999" t="n"/>
      <c r="F20" s="4999" t="n"/>
    </row>
    <row hidden="false" ht="15.75" outlineLevel="0" r="21">
      <c r="A21" s="20" t="n">
        <v>4</v>
      </c>
      <c r="B21" s="5013" t="s">
        <v>376</v>
      </c>
      <c r="C21" s="5000" t="s">
        <v>197</v>
      </c>
      <c r="D21" s="3728" t="n">
        <f aca="false" ca="false" dt2D="false" dtr="false" t="normal">SUM(D20*0.22)</f>
        <v>2781.2212606619046</v>
      </c>
      <c r="E21" s="4999" t="n"/>
      <c r="F21" s="4999" t="n"/>
    </row>
    <row hidden="false" ht="15.75" outlineLevel="0" r="22">
      <c r="A22" s="20" t="n"/>
      <c r="B22" s="5013" t="s">
        <v>439</v>
      </c>
      <c r="C22" s="189" t="n"/>
      <c r="D22" s="434" t="n">
        <f aca="false" ca="false" dt2D="false" dtr="false" t="normal">SUM(D20:D21)-423</f>
        <v>15000.13608185238</v>
      </c>
    </row>
    <row hidden="false" ht="15.75" outlineLevel="0" r="23">
      <c r="A23" s="20" t="n"/>
      <c r="B23" s="5013" t="s">
        <v>440</v>
      </c>
      <c r="C23" s="189" t="n"/>
      <c r="D23" s="434" t="n">
        <f aca="false" ca="false" dt2D="false" dtr="false" t="normal">SUM(D22*0.5)</f>
        <v>7500.06804092619</v>
      </c>
    </row>
    <row hidden="false" ht="15.75" outlineLevel="0" r="24">
      <c r="A24" s="20" t="n"/>
      <c r="B24" s="5013" t="s">
        <v>441</v>
      </c>
      <c r="C24" s="189" t="n"/>
      <c r="D24" s="434" t="n">
        <f aca="false" ca="false" dt2D="false" dtr="false" t="normal">1000*1</f>
        <v>1000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2">
    <mergeCell ref="A6:F6"/>
    <mergeCell ref="A16:D16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W54"/>
  <sheetViews>
    <sheetView showZeros="true" workbookViewId="0"/>
  </sheetViews>
  <sheetFormatPr baseColWidth="8" customHeight="false" defaultColWidth="9.01358353688254" defaultRowHeight="12.75" zeroHeight="false"/>
  <cols>
    <col customWidth="true" hidden="false" max="1" min="1" outlineLevel="0" style="93" width="3.51202187927726"/>
    <col customWidth="true" hidden="false" max="2" min="2" outlineLevel="0" style="93" width="12.962912175516"/>
    <col customWidth="true" hidden="false" max="3" min="3" outlineLevel="0" style="93" width="24.3671190339528"/>
    <col customWidth="true" hidden="false" max="4" min="4" outlineLevel="0" style="93" width="13.1010262128073"/>
    <col customWidth="true" hidden="false" max="5" min="5" outlineLevel="0" style="93" width="3.65013523990387"/>
    <col customWidth="true" hidden="false" max="6" min="6" outlineLevel="0" style="93" width="2.94970401839039"/>
    <col customWidth="true" hidden="false" max="7" min="7" outlineLevel="0" style="93" width="11.8284106820324"/>
    <col customWidth="true" hidden="false" max="8" min="8" outlineLevel="0" style="93" width="4.22231853416827"/>
    <col customWidth="true" hidden="false" max="9" min="9" outlineLevel="0" style="93" width="8.86884224526153"/>
    <col customWidth="true" hidden="false" max="10" min="10" outlineLevel="0" style="93" width="4.63665827771572"/>
    <col customWidth="true" hidden="false" max="11" min="11" outlineLevel="0" style="93" width="12.6768210358823"/>
    <col customWidth="true" hidden="false" max="12" min="12" outlineLevel="0" style="93" width="1.39099751714795"/>
    <col bestFit="true" customWidth="true" hidden="false" max="13" min="13" outlineLevel="0" style="93" width="9.01682070093331"/>
    <col customWidth="true" hidden="false" max="14" min="14" outlineLevel="0" style="93" width="8.29665861266476"/>
    <col customWidth="true" hidden="false" max="15" min="15" outlineLevel="0" style="93" width="4.63665827771572"/>
    <col customWidth="true" hidden="false" max="16" min="16" outlineLevel="0" style="93" width="5.33708949922919"/>
    <col customWidth="true" hidden="false" max="17" min="17" outlineLevel="0" style="93" width="4.63665827771572"/>
    <col bestFit="true" customWidth="true" hidden="false" max="257" min="18" outlineLevel="0" style="93" width="9.01682070093331"/>
  </cols>
  <sheetData>
    <row hidden="false" ht="15.75" outlineLevel="0" r="1">
      <c r="A1" s="4" t="n"/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  <c r="P1" s="4" t="n"/>
    </row>
    <row hidden="false" ht="15.75" outlineLevel="0" r="2">
      <c r="A2" s="4" t="n"/>
      <c r="B2" s="4" t="n"/>
      <c r="C2" s="4" t="n"/>
      <c r="D2" s="4" t="n"/>
      <c r="E2" s="4" t="n"/>
      <c r="F2" s="4" t="n"/>
      <c r="G2" s="4" t="n"/>
      <c r="H2" s="101" t="s">
        <v>175</v>
      </c>
      <c r="I2" s="101" t="n"/>
      <c r="J2" s="4" t="n"/>
      <c r="K2" s="104" t="n"/>
      <c r="L2" s="104" t="n"/>
      <c r="M2" s="104" t="n"/>
      <c r="N2" s="104" t="n"/>
      <c r="O2" s="4" t="n"/>
      <c r="P2" s="4" t="n"/>
    </row>
    <row hidden="false" ht="15.75" outlineLevel="0" r="3">
      <c r="A3" s="4" t="n"/>
      <c r="B3" s="4" t="n"/>
      <c r="C3" s="4" t="n"/>
      <c r="D3" s="4" t="n"/>
      <c r="E3" s="4" t="n"/>
      <c r="F3" s="4" t="n"/>
      <c r="G3" s="4" t="n"/>
      <c r="H3" s="105" t="s">
        <v>176</v>
      </c>
      <c r="I3" s="4" t="n"/>
      <c r="J3" s="4" t="n"/>
      <c r="K3" s="4" t="n"/>
      <c r="L3" s="4" t="n"/>
      <c r="M3" s="4" t="n"/>
      <c r="N3" s="4" t="n"/>
      <c r="O3" s="4" t="n"/>
      <c r="P3" s="4" t="n"/>
    </row>
    <row customHeight="true" hidden="false" ht="35.25" outlineLevel="0" r="4">
      <c r="A4" s="4" t="n"/>
      <c r="B4" s="4" t="n"/>
      <c r="C4" s="4" t="n"/>
      <c r="D4" s="4" t="n"/>
      <c r="E4" s="4" t="n"/>
      <c r="F4" s="4" t="n"/>
      <c r="G4" s="4" t="n"/>
      <c r="H4" s="101" t="s">
        <v>226</v>
      </c>
      <c r="I4" s="101" t="s"/>
      <c r="J4" s="101" t="s"/>
      <c r="K4" s="101" t="s"/>
      <c r="L4" s="101" t="s"/>
      <c r="M4" s="101" t="s"/>
      <c r="N4" s="101" t="s"/>
      <c r="O4" s="4" t="n"/>
      <c r="P4" s="4" t="n"/>
    </row>
    <row hidden="false" ht="15.75" outlineLevel="0" r="5">
      <c r="A5" s="4" t="n"/>
      <c r="B5" s="4" t="n"/>
      <c r="C5" s="4" t="n"/>
      <c r="D5" s="4" t="n"/>
      <c r="E5" s="4" t="n"/>
      <c r="F5" s="4" t="n"/>
      <c r="G5" s="4" t="n"/>
      <c r="H5" s="105" t="s">
        <v>178</v>
      </c>
      <c r="I5" s="105" t="n"/>
      <c r="J5" s="4" t="n"/>
      <c r="K5" s="4" t="n"/>
      <c r="L5" s="4" t="n"/>
      <c r="M5" s="4" t="n"/>
      <c r="N5" s="4" t="n"/>
      <c r="O5" s="4" t="n"/>
      <c r="P5" s="4" t="n"/>
    </row>
    <row hidden="false" ht="15.75" outlineLevel="0"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</row>
    <row customHeight="true" hidden="false" ht="31.5" outlineLevel="0" r="7">
      <c r="A7" s="4" t="n"/>
      <c r="B7" s="115" t="s">
        <v>229</v>
      </c>
      <c r="C7" s="115" t="s"/>
      <c r="D7" s="115" t="s"/>
      <c r="E7" s="115" t="s"/>
      <c r="F7" s="115" t="s"/>
      <c r="G7" s="115" t="s"/>
      <c r="H7" s="115" t="s"/>
      <c r="I7" s="115" t="s"/>
      <c r="J7" s="115" t="s"/>
      <c r="K7" s="115" t="s"/>
      <c r="L7" s="115" t="s"/>
      <c r="M7" s="115" t="s"/>
      <c r="N7" s="115" t="s"/>
      <c r="O7" s="4" t="n"/>
      <c r="P7" s="4" t="n"/>
    </row>
    <row customHeight="true" hidden="false" ht="12.75" outlineLevel="0" r="8">
      <c r="A8" s="4" t="n"/>
      <c r="B8" s="335" t="n"/>
      <c r="C8" s="335" t="n"/>
      <c r="D8" s="335" t="n"/>
      <c r="E8" s="335" t="n"/>
      <c r="F8" s="335" t="n"/>
      <c r="G8" s="335" t="n"/>
      <c r="H8" s="335" t="n"/>
      <c r="I8" s="335" t="n"/>
      <c r="J8" s="335" t="n"/>
      <c r="K8" s="335" t="n"/>
      <c r="L8" s="335" t="n"/>
      <c r="M8" s="335" t="n"/>
      <c r="N8" s="335" t="n"/>
      <c r="O8" s="4" t="n"/>
      <c r="P8" s="4" t="n"/>
    </row>
    <row customHeight="true" hidden="false" ht="12.75" outlineLevel="0" r="9">
      <c r="A9" s="4" t="n"/>
      <c r="B9" s="101" t="s">
        <v>232</v>
      </c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352" t="n"/>
      <c r="O9" s="143" t="n"/>
      <c r="P9" s="143" t="n"/>
      <c r="Q9" s="93" t="n"/>
    </row>
    <row customHeight="true" hidden="false" ht="78" outlineLevel="0" r="10">
      <c r="A10" s="124" t="n"/>
      <c r="B10" s="353" t="s">
        <v>184</v>
      </c>
      <c r="C10" s="354" t="s"/>
      <c r="D10" s="129" t="s">
        <v>233</v>
      </c>
      <c r="E10" s="355" t="s"/>
      <c r="F10" s="356" t="s"/>
      <c r="G10" s="129" t="s">
        <v>186</v>
      </c>
      <c r="H10" s="359" t="s"/>
      <c r="I10" s="129" t="s">
        <v>187</v>
      </c>
      <c r="J10" s="365" t="s"/>
      <c r="K10" s="367" t="s"/>
      <c r="L10" s="129" t="s">
        <v>188</v>
      </c>
      <c r="M10" s="368" t="s"/>
      <c r="N10" s="369" t="s"/>
      <c r="O10" s="4" t="n"/>
      <c r="P10" s="4" t="n"/>
    </row>
    <row customHeight="true" hidden="false" ht="15.75" outlineLevel="0" r="11">
      <c r="A11" s="17" t="n">
        <v>1</v>
      </c>
      <c r="B11" s="32" t="s">
        <v>189</v>
      </c>
      <c r="C11" s="370" t="s"/>
      <c r="D11" s="225" t="n">
        <f aca="false" ca="false" dt2D="false" dtr="false" t="normal">68227*1.302</f>
        <v>88831.554</v>
      </c>
      <c r="E11" s="379" t="s"/>
      <c r="F11" s="380" t="s"/>
      <c r="G11" s="381" t="n">
        <v>9600</v>
      </c>
      <c r="H11" s="382" t="s"/>
      <c r="I11" s="384" t="n">
        <f aca="false" ca="false" dt2D="false" dtr="false" t="normal">SUM(60*9.5)</f>
        <v>570</v>
      </c>
      <c r="J11" s="386" t="s"/>
      <c r="K11" s="388" t="s"/>
      <c r="L11" s="225" t="n">
        <f aca="false" ca="false" dt2D="false" dtr="false" t="normal">D11/G11*I11</f>
        <v>5274.373518750001</v>
      </c>
      <c r="M11" s="396" t="s"/>
      <c r="N11" s="397" t="s"/>
      <c r="O11" s="4" t="n"/>
      <c r="P11" s="4" t="n"/>
    </row>
    <row customHeight="true" hidden="false" ht="15.75" outlineLevel="0" r="12">
      <c r="A12" s="17" t="n">
        <v>2</v>
      </c>
      <c r="B12" s="32" t="s">
        <v>237</v>
      </c>
      <c r="C12" s="399" t="s"/>
      <c r="D12" s="225" t="n">
        <f aca="false" ca="false" dt2D="false" dtr="false" t="normal">98188.2*1.302</f>
        <v>127841.0364</v>
      </c>
      <c r="E12" s="400" t="s"/>
      <c r="F12" s="401" t="s"/>
      <c r="G12" s="381" t="n">
        <v>9600</v>
      </c>
      <c r="H12" s="402" t="s"/>
      <c r="I12" s="384" t="n">
        <f aca="false" ca="false" dt2D="false" dtr="false" t="normal">SUM(20)</f>
        <v>20</v>
      </c>
      <c r="J12" s="404" t="s"/>
      <c r="K12" s="405" t="s"/>
      <c r="L12" s="225" t="n">
        <f aca="false" ca="false" dt2D="false" dtr="false" t="normal">D12/G12*I12</f>
        <v>266.3354925</v>
      </c>
      <c r="M12" s="406" t="s"/>
      <c r="N12" s="407" t="s"/>
      <c r="O12" s="4" t="n"/>
      <c r="P12" s="4" t="n"/>
    </row>
    <row customHeight="true" hidden="false" ht="24" outlineLevel="0" r="13">
      <c r="A13" s="124" t="n"/>
      <c r="B13" s="32" t="s">
        <v>183</v>
      </c>
      <c r="C13" s="409" t="s"/>
      <c r="D13" s="225" t="n">
        <f aca="false" ca="false" dt2D="false" dtr="false" t="normal">SUM(D11:F12)</f>
        <v>216672.5904</v>
      </c>
      <c r="E13" s="418" t="s"/>
      <c r="F13" s="419" t="s"/>
      <c r="G13" s="381" t="n">
        <f aca="false" ca="false" dt2D="false" dtr="false" t="normal">SUM(G11:H12)</f>
        <v>19200</v>
      </c>
      <c r="H13" s="420" t="s"/>
      <c r="I13" s="421" t="n">
        <f aca="false" ca="false" dt2D="false" dtr="false" t="normal">SUM(I11:K12)</f>
        <v>590</v>
      </c>
      <c r="J13" s="424" t="s"/>
      <c r="K13" s="426" t="s"/>
      <c r="L13" s="250" t="n">
        <f aca="false" ca="false" dt2D="false" dtr="false" t="normal">SUM(L11:N12)</f>
        <v>5540.709011250001</v>
      </c>
      <c r="M13" s="432" t="s"/>
      <c r="N13" s="433" t="s"/>
      <c r="O13" s="4" t="n"/>
      <c r="P13" s="4" t="n"/>
    </row>
    <row customHeight="true" hidden="false" ht="15.75" outlineLevel="0" r="14">
      <c r="A14" s="4" t="n"/>
      <c r="B14" s="104" t="n"/>
      <c r="C14" s="104" t="s"/>
      <c r="D14" s="435" t="n"/>
      <c r="E14" s="435" t="s"/>
      <c r="F14" s="435" t="s"/>
      <c r="G14" s="119" t="n"/>
      <c r="H14" s="119" t="s"/>
      <c r="I14" s="119" t="n"/>
      <c r="J14" s="119" t="s"/>
      <c r="K14" s="119" t="s"/>
      <c r="L14" s="119" t="n"/>
      <c r="M14" s="119" t="s"/>
      <c r="N14" s="119" t="s"/>
      <c r="O14" s="4" t="n"/>
      <c r="P14" s="4" t="n"/>
    </row>
    <row customHeight="true" hidden="false" ht="12.75" outlineLevel="0" r="15">
      <c r="A15" s="4" t="n"/>
      <c r="B15" s="444" t="s">
        <v>198</v>
      </c>
      <c r="C15" s="445" t="s"/>
      <c r="D15" s="446" t="s"/>
      <c r="E15" s="447" t="s"/>
      <c r="F15" s="448" t="s"/>
      <c r="G15" s="119" t="n"/>
      <c r="H15" s="119" t="n"/>
      <c r="I15" s="119" t="n"/>
      <c r="J15" s="119" t="s"/>
      <c r="K15" s="119" t="s"/>
      <c r="L15" s="352" t="n"/>
      <c r="M15" s="456" t="s"/>
      <c r="N15" s="458" t="s"/>
      <c r="O15" s="4" t="n"/>
      <c r="P15" s="4" t="n"/>
    </row>
    <row customHeight="true" hidden="false" ht="64.5" outlineLevel="0" r="16">
      <c r="A16" s="196" t="n"/>
      <c r="B16" s="129" t="s">
        <v>200</v>
      </c>
      <c r="C16" s="460" t="s"/>
      <c r="D16" s="129" t="s">
        <v>201</v>
      </c>
      <c r="E16" s="461" t="s"/>
      <c r="F16" s="462" t="s"/>
      <c r="G16" s="129" t="s">
        <v>202</v>
      </c>
      <c r="H16" s="464" t="s"/>
      <c r="I16" s="129" t="s">
        <v>203</v>
      </c>
      <c r="J16" s="471" t="s"/>
      <c r="K16" s="472" t="s"/>
      <c r="L16" s="353" t="s">
        <v>246</v>
      </c>
      <c r="M16" s="474" t="s"/>
      <c r="N16" s="475" t="s"/>
      <c r="O16" s="4" t="n"/>
      <c r="P16" s="4" t="n"/>
    </row>
    <row customHeight="true" hidden="false" ht="15.75" outlineLevel="0" r="17">
      <c r="A17" s="17" t="n">
        <v>1</v>
      </c>
      <c r="B17" s="32" t="s">
        <v>205</v>
      </c>
      <c r="C17" s="476" t="s"/>
      <c r="D17" s="95" t="s">
        <v>207</v>
      </c>
      <c r="E17" s="478" t="s"/>
      <c r="F17" s="480" t="s"/>
      <c r="G17" s="95" t="n">
        <v>2</v>
      </c>
      <c r="H17" s="484" t="s"/>
      <c r="I17" s="95" t="n">
        <f aca="false" ca="false" dt2D="false" dtr="false" t="normal">587/500</f>
        <v>1.174</v>
      </c>
      <c r="J17" s="488" t="s"/>
      <c r="K17" s="489" t="s"/>
      <c r="L17" s="106" t="n">
        <f aca="false" ca="false" dt2D="false" dtr="false" t="normal">SUM(I17*G17)</f>
        <v>2.348</v>
      </c>
      <c r="M17" s="490" t="s"/>
      <c r="N17" s="491" t="s"/>
      <c r="O17" s="4" t="n"/>
      <c r="P17" s="4" t="n"/>
    </row>
    <row customHeight="true" hidden="false" ht="15.75" outlineLevel="0" r="18">
      <c r="A18" s="17" t="n">
        <v>2</v>
      </c>
      <c r="B18" s="32" t="s">
        <v>209</v>
      </c>
      <c r="C18" s="495" t="s"/>
      <c r="D18" s="95" t="s">
        <v>210</v>
      </c>
      <c r="E18" s="496" t="s"/>
      <c r="F18" s="497" t="s"/>
      <c r="G18" s="95" t="n">
        <v>0.08</v>
      </c>
      <c r="H18" s="498" t="s"/>
      <c r="I18" s="95" t="n">
        <v>1890</v>
      </c>
      <c r="J18" s="499" t="s"/>
      <c r="K18" s="500" t="s"/>
      <c r="L18" s="95" t="n">
        <f aca="false" ca="false" dt2D="false" dtr="false" t="normal">G18*I18</f>
        <v>151.20000000000002</v>
      </c>
      <c r="M18" s="501" t="s"/>
      <c r="N18" s="504" t="s"/>
      <c r="O18" s="4" t="n"/>
      <c r="P18" s="4" t="n"/>
      <c r="S18" s="511" t="n"/>
    </row>
    <row customHeight="true" hidden="false" ht="19.5" outlineLevel="0" r="19">
      <c r="A19" s="124" t="n"/>
      <c r="B19" s="95" t="n"/>
      <c r="C19" s="513" t="s"/>
      <c r="D19" s="95" t="n"/>
      <c r="E19" s="514" t="s"/>
      <c r="F19" s="515" t="s"/>
      <c r="G19" s="95" t="n"/>
      <c r="H19" s="516" t="s"/>
      <c r="I19" s="95" t="n"/>
      <c r="J19" s="517" t="s"/>
      <c r="K19" s="518" t="s"/>
      <c r="L19" s="136" t="n">
        <f aca="false" ca="false" dt2D="false" dtr="false" t="normal">SUM(L17:N18)</f>
        <v>153.54800000000003</v>
      </c>
      <c r="M19" s="520" t="s"/>
      <c r="N19" s="521" t="s"/>
      <c r="O19" s="4" t="n"/>
      <c r="P19" s="4" t="n"/>
    </row>
    <row hidden="false" ht="15.75" outlineLevel="0" r="20">
      <c r="A20" s="4" t="n"/>
      <c r="B20" s="119" t="n"/>
      <c r="C20" s="119" t="n"/>
      <c r="D20" s="119" t="n"/>
      <c r="E20" s="119" t="n"/>
      <c r="F20" s="119" t="n"/>
      <c r="G20" s="119" t="n"/>
      <c r="H20" s="119" t="n"/>
      <c r="I20" s="119" t="n"/>
      <c r="J20" s="119" t="n"/>
      <c r="K20" s="119" t="n"/>
      <c r="L20" s="253" t="n"/>
      <c r="M20" s="253" t="n"/>
      <c r="N20" s="253" t="n"/>
      <c r="O20" s="4" t="n"/>
      <c r="P20" s="4" t="n"/>
    </row>
    <row hidden="false" ht="15.75" outlineLevel="0" r="21">
      <c r="A21" s="4" t="n"/>
      <c r="B21" s="105" t="s">
        <v>212</v>
      </c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</row>
    <row customHeight="true" hidden="false" ht="98.25" outlineLevel="0" r="22">
      <c r="A22" s="124" t="n"/>
      <c r="B22" s="129" t="s">
        <v>213</v>
      </c>
      <c r="C22" s="526" t="s"/>
      <c r="D22" s="129" t="s">
        <v>214</v>
      </c>
      <c r="E22" s="529" t="s"/>
      <c r="F22" s="531" t="s"/>
      <c r="G22" s="259" t="s">
        <v>215</v>
      </c>
      <c r="H22" s="417" t="s">
        <v>216</v>
      </c>
      <c r="I22" s="532" t="s"/>
      <c r="J22" s="353" t="s">
        <v>217</v>
      </c>
      <c r="K22" s="534" t="s"/>
      <c r="L22" s="535" t="s"/>
      <c r="M22" s="353" t="s">
        <v>248</v>
      </c>
      <c r="N22" s="536" t="s"/>
      <c r="O22" s="4" t="n"/>
      <c r="P22" s="4" t="n"/>
    </row>
    <row customHeight="true" hidden="false" ht="15.75" outlineLevel="0" r="23">
      <c r="A23" s="17" t="n">
        <v>1</v>
      </c>
      <c r="B23" s="32" t="s">
        <v>173</v>
      </c>
      <c r="C23" s="540" t="s"/>
      <c r="D23" s="225" t="n">
        <v>70000</v>
      </c>
      <c r="E23" s="542" t="s"/>
      <c r="F23" s="545" t="s"/>
      <c r="G23" s="525" t="n">
        <v>0.3</v>
      </c>
      <c r="H23" s="99" t="s">
        <v>174</v>
      </c>
      <c r="I23" s="546" t="s"/>
      <c r="J23" s="95" t="n">
        <v>9</v>
      </c>
      <c r="K23" s="548" t="s"/>
      <c r="L23" s="549" t="s"/>
      <c r="M23" s="106" t="n">
        <f aca="false" ca="false" dt2D="false" dtr="false" t="normal">D23*G23/H23*J23</f>
        <v>118.125</v>
      </c>
      <c r="N23" s="550" t="s"/>
      <c r="O23" s="4" t="n"/>
      <c r="P23" s="4" t="n"/>
    </row>
    <row customHeight="true" hidden="false" ht="15.75" outlineLevel="0" r="24">
      <c r="A24" s="17" t="n">
        <v>2</v>
      </c>
      <c r="B24" s="32" t="s">
        <v>179</v>
      </c>
      <c r="C24" s="522" t="s"/>
      <c r="D24" s="225" t="n">
        <v>17856</v>
      </c>
      <c r="E24" s="523" t="s"/>
      <c r="F24" s="524" t="s"/>
      <c r="G24" s="525" t="n">
        <v>0.3</v>
      </c>
      <c r="H24" s="99" t="s">
        <v>174</v>
      </c>
      <c r="I24" s="527" t="s"/>
      <c r="J24" s="95" t="n">
        <v>3</v>
      </c>
      <c r="K24" s="528" t="s"/>
      <c r="L24" s="530" t="s"/>
      <c r="M24" s="106" t="n">
        <f aca="false" ca="false" dt2D="false" dtr="false" t="normal">D24*G24/H24*J24</f>
        <v>10.044</v>
      </c>
      <c r="N24" s="533" t="s"/>
      <c r="O24" s="4" t="n"/>
      <c r="P24" s="4" t="n"/>
    </row>
    <row customHeight="true" hidden="false" ht="15.75" outlineLevel="0" r="25">
      <c r="A25" s="17" t="n">
        <v>3</v>
      </c>
      <c r="B25" s="32" t="s">
        <v>181</v>
      </c>
      <c r="C25" s="537" t="s"/>
      <c r="D25" s="225" t="n">
        <v>500000</v>
      </c>
      <c r="E25" s="538" t="s"/>
      <c r="F25" s="539" t="s"/>
      <c r="G25" s="525" t="n">
        <v>0.3</v>
      </c>
      <c r="H25" s="99" t="s">
        <v>174</v>
      </c>
      <c r="I25" s="541" t="s"/>
      <c r="J25" s="95" t="n">
        <v>2</v>
      </c>
      <c r="K25" s="543" t="s"/>
      <c r="L25" s="544" t="s"/>
      <c r="M25" s="106" t="n">
        <f aca="false" ca="false" dt2D="false" dtr="false" t="normal">D25*G25/H25*J25</f>
        <v>187.5</v>
      </c>
      <c r="N25" s="547" t="s"/>
      <c r="O25" s="4" t="n"/>
      <c r="P25" s="4" t="n"/>
    </row>
    <row customHeight="true" hidden="false" ht="15.75" outlineLevel="0" r="26">
      <c r="A26" s="124" t="n"/>
      <c r="B26" s="95" t="n"/>
      <c r="C26" s="551" t="s"/>
      <c r="D26" s="95" t="n"/>
      <c r="E26" s="552" t="s"/>
      <c r="F26" s="553" t="s"/>
      <c r="G26" s="98" t="n"/>
      <c r="H26" s="99" t="n"/>
      <c r="I26" s="554" t="s"/>
      <c r="J26" s="95" t="n"/>
      <c r="K26" s="555" t="s"/>
      <c r="L26" s="556" t="s"/>
      <c r="M26" s="136" t="n">
        <f aca="false" ca="false" dt2D="false" dtr="false" t="normal">SUM(M23:N25)</f>
        <v>315.669</v>
      </c>
      <c r="N26" s="557" t="s"/>
      <c r="O26" s="4" t="n"/>
      <c r="P26" s="4" t="n"/>
    </row>
    <row hidden="false" ht="15.75" outlineLevel="0" r="27">
      <c r="A27" s="4" t="n"/>
      <c r="B27" s="4" t="n"/>
      <c r="C27" s="4" t="n"/>
      <c r="D27" s="4" t="n"/>
      <c r="E27" s="4" t="n"/>
      <c r="F27" s="4" t="n"/>
      <c r="G27" s="4" t="n"/>
      <c r="H27" s="4" t="n"/>
      <c r="I27" s="558" t="n"/>
      <c r="J27" s="119" t="n"/>
      <c r="K27" s="119" t="n"/>
      <c r="L27" s="4" t="n"/>
      <c r="M27" s="4" t="n"/>
      <c r="N27" s="4" t="n"/>
      <c r="O27" s="4" t="n"/>
      <c r="P27" s="4" t="n"/>
    </row>
    <row customFormat="true" customHeight="true" hidden="false" ht="16.5" outlineLevel="0" r="28" s="93">
      <c r="A28" s="1" t="n"/>
      <c r="B28" s="264" t="s">
        <v>219</v>
      </c>
      <c r="C28" s="265" t="n"/>
      <c r="D28" s="265" t="n"/>
      <c r="E28" s="265" t="n"/>
      <c r="F28" s="265" t="n"/>
      <c r="G28" s="265" t="n"/>
      <c r="H28" s="265" t="n"/>
      <c r="I28" s="265" t="n"/>
      <c r="J28" s="3" t="n"/>
      <c r="K28" s="3" t="n"/>
      <c r="L28" s="4" t="n"/>
      <c r="M28" s="4" t="n"/>
      <c r="N28" s="4" t="n"/>
      <c r="O28" s="4" t="n"/>
      <c r="P28" s="4" t="n"/>
    </row>
    <row customFormat="true" customHeight="true" hidden="false" ht="15.75" outlineLevel="0" r="29" s="93">
      <c r="A29" s="20" t="n"/>
      <c r="B29" s="266" t="s">
        <v>220</v>
      </c>
      <c r="C29" s="267" t="s"/>
      <c r="D29" s="268" t="s"/>
      <c r="E29" s="269" t="s"/>
      <c r="F29" s="270" t="s"/>
      <c r="G29" s="271" t="s"/>
      <c r="H29" s="272" t="s"/>
      <c r="I29" s="273" t="s"/>
      <c r="J29" s="274" t="s"/>
      <c r="K29" s="275" t="s">
        <v>221</v>
      </c>
      <c r="L29" s="4" t="n"/>
      <c r="M29" s="4" t="n"/>
      <c r="N29" s="4" t="n"/>
      <c r="O29" s="4" t="n"/>
      <c r="P29" s="4" t="n"/>
    </row>
    <row customFormat="true" customHeight="true" hidden="false" ht="15.75" outlineLevel="0" r="30" s="93">
      <c r="A30" s="17" t="n">
        <v>1</v>
      </c>
      <c r="B30" s="276" t="s">
        <v>222</v>
      </c>
      <c r="C30" s="277" t="s"/>
      <c r="D30" s="278" t="s"/>
      <c r="E30" s="279" t="s"/>
      <c r="F30" s="280" t="s"/>
      <c r="G30" s="281" t="s"/>
      <c r="H30" s="282" t="s"/>
      <c r="I30" s="283" t="s"/>
      <c r="J30" s="284" t="s"/>
      <c r="K30" s="285" t="n">
        <f aca="false" ca="false" dt2D="false" dtr="false" t="normal">SUM(K31:K32)</f>
        <v>102005.23762063854</v>
      </c>
      <c r="L30" s="4" t="n"/>
      <c r="M30" s="4" t="n"/>
      <c r="N30" s="4" t="n"/>
      <c r="O30" s="4" t="n"/>
      <c r="P30" s="4" t="n"/>
    </row>
    <row customFormat="true" customHeight="true" hidden="false" ht="30" outlineLevel="0" r="31" s="93">
      <c r="A31" s="17" t="n"/>
      <c r="B31" s="144" t="s">
        <v>223</v>
      </c>
      <c r="C31" s="286" t="s"/>
      <c r="D31" s="287" t="s"/>
      <c r="E31" s="288" t="s"/>
      <c r="F31" s="289" t="s"/>
      <c r="G31" s="290" t="s"/>
      <c r="H31" s="291" t="s"/>
      <c r="I31" s="292" t="s"/>
      <c r="J31" s="293" t="s"/>
      <c r="K31" s="285" t="n">
        <f aca="false" ca="false" dt2D="false" dtr="false" t="normal">(15990207-D13)*1.302/218</f>
        <v>94207.07248302386</v>
      </c>
      <c r="L31" s="4" t="n"/>
      <c r="M31" s="4" t="n"/>
      <c r="N31" s="4" t="n"/>
      <c r="O31" s="4" t="n"/>
      <c r="P31" s="4" t="n"/>
    </row>
    <row customFormat="true" customHeight="true" hidden="false" ht="17.25" outlineLevel="0" r="32" s="93">
      <c r="A32" s="17" t="n"/>
      <c r="B32" s="144" t="s">
        <v>224</v>
      </c>
      <c r="C32" s="294" t="s"/>
      <c r="D32" s="295" t="s"/>
      <c r="E32" s="296" t="s"/>
      <c r="F32" s="297" t="s"/>
      <c r="G32" s="298" t="s"/>
      <c r="H32" s="299" t="s"/>
      <c r="I32" s="300" t="s"/>
      <c r="J32" s="301" t="s"/>
      <c r="K32" s="285" t="n">
        <f aca="false" ca="false" dt2D="false" dtr="false" t="normal">(200000+1500000)/218</f>
        <v>7798.165137614679</v>
      </c>
      <c r="L32" s="4" t="n"/>
      <c r="M32" s="4" t="n"/>
      <c r="N32" s="4" t="n"/>
      <c r="O32" s="4" t="n"/>
      <c r="P32" s="4" t="n"/>
    </row>
    <row customFormat="true" customHeight="true" hidden="false" ht="16.5" outlineLevel="0" r="33" s="93">
      <c r="A33" s="17" t="n">
        <v>2</v>
      </c>
      <c r="B33" s="144" t="s">
        <v>225</v>
      </c>
      <c r="C33" s="302" t="s"/>
      <c r="D33" s="303" t="s"/>
      <c r="E33" s="304" t="s"/>
      <c r="F33" s="305" t="s"/>
      <c r="G33" s="306" t="s"/>
      <c r="H33" s="307" t="s"/>
      <c r="I33" s="308" t="s"/>
      <c r="J33" s="309" t="s"/>
      <c r="K33" s="285" t="n">
        <f aca="false" ca="false" dt2D="false" dtr="false" t="normal">SUM(K34:K35)</f>
        <v>68104.96788990825</v>
      </c>
      <c r="L33" s="4" t="n"/>
      <c r="M33" s="4" t="n"/>
      <c r="N33" s="4" t="n"/>
      <c r="O33" s="4" t="n"/>
      <c r="P33" s="4" t="n"/>
    </row>
    <row customFormat="true" customHeight="true" hidden="false" ht="15" outlineLevel="0" r="34" s="93">
      <c r="A34" s="17" t="n"/>
      <c r="B34" s="310" t="s">
        <v>227</v>
      </c>
      <c r="C34" s="311" t="s"/>
      <c r="D34" s="312" t="s"/>
      <c r="E34" s="313" t="s"/>
      <c r="F34" s="314" t="s"/>
      <c r="G34" s="315" t="s"/>
      <c r="H34" s="316" t="s"/>
      <c r="I34" s="317" t="s"/>
      <c r="J34" s="318" t="s"/>
      <c r="K34" s="285" t="n">
        <f aca="false" ca="false" dt2D="false" dtr="false" t="normal">2000000/218</f>
        <v>9174.311926605504</v>
      </c>
      <c r="L34" s="4" t="n"/>
      <c r="M34" s="4" t="n"/>
      <c r="N34" s="4" t="n"/>
      <c r="O34" s="4" t="n"/>
      <c r="P34" s="4" t="n"/>
    </row>
    <row customFormat="true" customHeight="true" hidden="false" ht="16.5" outlineLevel="0" r="35" s="93">
      <c r="A35" s="17" t="n"/>
      <c r="B35" s="310" t="s">
        <v>228</v>
      </c>
      <c r="C35" s="319" t="s"/>
      <c r="D35" s="320" t="s"/>
      <c r="E35" s="321" t="s"/>
      <c r="F35" s="322" t="s"/>
      <c r="G35" s="323" t="s"/>
      <c r="H35" s="324" t="s"/>
      <c r="I35" s="325" t="s"/>
      <c r="J35" s="326" t="s"/>
      <c r="K35" s="285" t="n">
        <f aca="false" ca="false" dt2D="false" dtr="false" t="normal">(8246883+3800000+800000)/218</f>
        <v>58930.65596330275</v>
      </c>
      <c r="L35" s="4" t="n"/>
      <c r="M35" s="4" t="n"/>
      <c r="N35" s="4" t="n"/>
      <c r="O35" s="4" t="n"/>
      <c r="P35" s="4" t="n"/>
    </row>
    <row customFormat="true" customHeight="true" hidden="false" ht="15.75" outlineLevel="0" r="36" s="93">
      <c r="A36" s="17" t="n">
        <v>3</v>
      </c>
      <c r="B36" s="144" t="s">
        <v>230</v>
      </c>
      <c r="C36" s="327" t="s"/>
      <c r="D36" s="328" t="s"/>
      <c r="E36" s="329" t="s"/>
      <c r="F36" s="330" t="s"/>
      <c r="G36" s="331" t="s"/>
      <c r="H36" s="332" t="s"/>
      <c r="I36" s="333" t="s"/>
      <c r="J36" s="334" t="s"/>
      <c r="K36" s="285" t="n">
        <f aca="false" ca="false" dt2D="false" dtr="false" t="normal">M26</f>
        <v>315.669</v>
      </c>
      <c r="L36" s="4" t="n"/>
      <c r="M36" s="4" t="n"/>
      <c r="N36" s="4" t="n"/>
      <c r="O36" s="4" t="n"/>
      <c r="P36" s="4" t="n"/>
    </row>
    <row customFormat="true" customHeight="true" hidden="false" ht="15.75" outlineLevel="0" r="37" s="93">
      <c r="A37" s="17" t="n"/>
      <c r="B37" s="276" t="s">
        <v>183</v>
      </c>
      <c r="C37" s="336" t="s"/>
      <c r="D37" s="337" t="s"/>
      <c r="E37" s="338" t="s"/>
      <c r="F37" s="339" t="s"/>
      <c r="G37" s="340" t="s"/>
      <c r="H37" s="341" t="s"/>
      <c r="I37" s="342" t="s"/>
      <c r="J37" s="343" t="s"/>
      <c r="K37" s="285" t="n">
        <f aca="false" ca="false" dt2D="false" dtr="false" t="normal">K33+K36</f>
        <v>68420.63688990824</v>
      </c>
      <c r="L37" s="4" t="n"/>
      <c r="M37" s="4" t="n"/>
      <c r="N37" s="4" t="n"/>
      <c r="O37" s="4" t="n"/>
      <c r="P37" s="4" t="n"/>
    </row>
    <row customFormat="true" customHeight="true" hidden="false" ht="15.75" outlineLevel="0" r="38" s="93">
      <c r="A38" s="17" t="n">
        <v>4</v>
      </c>
      <c r="B38" s="144" t="s">
        <v>231</v>
      </c>
      <c r="C38" s="344" t="s"/>
      <c r="D38" s="345" t="s"/>
      <c r="E38" s="346" t="s"/>
      <c r="F38" s="347" t="s"/>
      <c r="G38" s="348" t="s"/>
      <c r="H38" s="349" t="s"/>
      <c r="I38" s="350" t="s"/>
      <c r="J38" s="351" t="s"/>
      <c r="K38" s="285" t="n">
        <f aca="false" ca="false" dt2D="false" dtr="false" t="normal">SUM(D13)</f>
        <v>216672.5904</v>
      </c>
      <c r="L38" s="4" t="n"/>
      <c r="M38" s="4" t="n"/>
      <c r="N38" s="4" t="n"/>
      <c r="O38" s="4" t="n"/>
      <c r="P38" s="4" t="n"/>
    </row>
    <row customFormat="true" customHeight="true" hidden="false" ht="15.75" outlineLevel="0" r="39" s="93">
      <c r="A39" s="17" t="n">
        <v>5</v>
      </c>
      <c r="B39" s="276" t="s">
        <v>234</v>
      </c>
      <c r="C39" s="357" t="s"/>
      <c r="D39" s="358" t="s"/>
      <c r="E39" s="360" t="s"/>
      <c r="F39" s="361" t="s"/>
      <c r="G39" s="362" t="s"/>
      <c r="H39" s="363" t="s"/>
      <c r="I39" s="364" t="s"/>
      <c r="J39" s="366" t="s"/>
      <c r="K39" s="285" t="n">
        <f aca="false" ca="false" dt2D="false" dtr="false" t="normal">(K30+K33+K36)/K38</f>
        <v>0.7865594545019424</v>
      </c>
      <c r="L39" s="4" t="n"/>
      <c r="M39" s="4" t="n"/>
      <c r="N39" s="4" t="n"/>
      <c r="O39" s="4" t="n"/>
      <c r="P39" s="4" t="n"/>
    </row>
    <row customHeight="true" hidden="false" ht="15.75" outlineLevel="0" r="40">
      <c r="A40" s="17" t="n">
        <f aca="false" ca="false" dt2D="false" dtr="false" t="normal">SUM(A39+1)</f>
        <v>6</v>
      </c>
      <c r="B40" s="144" t="s">
        <v>235</v>
      </c>
      <c r="C40" s="371" t="s"/>
      <c r="D40" s="372" t="s"/>
      <c r="E40" s="373" t="s"/>
      <c r="F40" s="374" t="s"/>
      <c r="G40" s="375" t="s"/>
      <c r="H40" s="376" t="s"/>
      <c r="I40" s="377" t="s"/>
      <c r="J40" s="378" t="s"/>
      <c r="K40" s="285" t="n">
        <f aca="false" ca="false" dt2D="false" dtr="false" t="normal">L13</f>
        <v>5540.709011250001</v>
      </c>
      <c r="L40" s="4" t="n"/>
      <c r="M40" s="4" t="n"/>
      <c r="N40" s="4" t="n"/>
      <c r="O40" s="4" t="n"/>
      <c r="P40" s="4" t="n"/>
    </row>
    <row customHeight="true" hidden="false" ht="15.75" outlineLevel="0" r="41">
      <c r="A41" s="383" t="n"/>
      <c r="B41" s="276" t="s">
        <v>236</v>
      </c>
      <c r="C41" s="385" t="s"/>
      <c r="D41" s="387" t="s"/>
      <c r="E41" s="389" t="s"/>
      <c r="F41" s="390" t="s"/>
      <c r="G41" s="391" t="s"/>
      <c r="H41" s="392" t="s"/>
      <c r="I41" s="393" t="s"/>
      <c r="J41" s="394" t="s"/>
      <c r="K41" s="395" t="n">
        <f aca="false" ca="false" dt2D="false" dtr="false" t="normal">SUM(K40*K39)</f>
        <v>4358.097057442797</v>
      </c>
      <c r="L41" s="4" t="n"/>
      <c r="M41" s="4" t="n"/>
      <c r="N41" s="4" t="n"/>
      <c r="O41" s="4" t="n"/>
      <c r="P41" s="4" t="n"/>
    </row>
    <row hidden="false" ht="15.75" outlineLevel="0" r="42">
      <c r="A42" s="398" t="n"/>
      <c r="B42" s="398" t="n"/>
      <c r="C42" s="398" t="n"/>
      <c r="D42" s="398" t="n"/>
      <c r="E42" s="398" t="n"/>
      <c r="F42" s="398" t="n"/>
      <c r="G42" s="398" t="n"/>
      <c r="H42" s="398" t="n"/>
      <c r="I42" s="398" t="n"/>
      <c r="J42" s="398" t="n"/>
      <c r="K42" s="398" t="n"/>
      <c r="L42" s="4" t="n"/>
      <c r="M42" s="4" t="n"/>
      <c r="N42" s="4" t="n"/>
      <c r="O42" s="4" t="n"/>
      <c r="P42" s="4" t="n"/>
    </row>
    <row customHeight="true" hidden="false" ht="67.5" outlineLevel="0" r="43">
      <c r="A43" s="403" t="s">
        <v>238</v>
      </c>
      <c r="B43" s="403" t="s"/>
      <c r="C43" s="403" t="s"/>
      <c r="D43" s="403" t="s"/>
      <c r="E43" s="403" t="s"/>
      <c r="F43" s="403" t="s"/>
      <c r="G43" s="403" t="s"/>
      <c r="H43" s="403" t="s"/>
      <c r="I43" s="403" t="s"/>
      <c r="J43" s="403" t="s"/>
      <c r="K43" s="403" t="s"/>
      <c r="L43" s="4" t="n"/>
      <c r="M43" s="4" t="n"/>
      <c r="N43" s="4" t="n"/>
      <c r="O43" s="4" t="n"/>
      <c r="P43" s="4" t="n"/>
    </row>
    <row customHeight="true" hidden="false" ht="31.5" outlineLevel="0" r="44">
      <c r="A44" s="169" t="s">
        <v>239</v>
      </c>
      <c r="B44" s="169" t="s">
        <v>240</v>
      </c>
      <c r="C44" s="408" t="s"/>
      <c r="D44" s="410" t="s"/>
      <c r="E44" s="411" t="s"/>
      <c r="F44" s="412" t="s"/>
      <c r="G44" s="413" t="s"/>
      <c r="H44" s="414" t="s"/>
      <c r="I44" s="415" t="s"/>
      <c r="J44" s="416" t="s"/>
      <c r="K44" s="417" t="s">
        <v>241</v>
      </c>
      <c r="L44" s="4" t="n"/>
      <c r="M44" s="4" t="n"/>
      <c r="N44" s="4" t="n"/>
      <c r="O44" s="4" t="n"/>
      <c r="P44" s="4" t="n"/>
    </row>
    <row customHeight="true" hidden="false" ht="15.75" outlineLevel="0" r="45">
      <c r="A45" s="67" t="n">
        <v>1</v>
      </c>
      <c r="B45" s="177" t="s">
        <v>242</v>
      </c>
      <c r="C45" s="422" t="s"/>
      <c r="D45" s="423" t="s"/>
      <c r="E45" s="425" t="s"/>
      <c r="F45" s="427" t="s"/>
      <c r="G45" s="428" t="s"/>
      <c r="H45" s="429" t="s"/>
      <c r="I45" s="430" t="s"/>
      <c r="J45" s="431" t="s"/>
      <c r="K45" s="434" t="n">
        <f aca="false" ca="false" dt2D="false" dtr="false" t="normal">SUM(L13)</f>
        <v>5540.709011250001</v>
      </c>
      <c r="L45" s="4" t="n"/>
      <c r="M45" s="4" t="n"/>
      <c r="N45" s="4" t="n"/>
      <c r="O45" s="4" t="n"/>
      <c r="P45" s="4" t="n"/>
    </row>
    <row customHeight="true" hidden="false" ht="15.75" outlineLevel="0" r="46">
      <c r="A46" s="67" t="n">
        <v>2</v>
      </c>
      <c r="B46" s="189" t="s">
        <v>243</v>
      </c>
      <c r="C46" s="436" t="s"/>
      <c r="D46" s="437" t="s"/>
      <c r="E46" s="438" t="s"/>
      <c r="F46" s="439" t="s"/>
      <c r="G46" s="440" t="s"/>
      <c r="H46" s="441" t="s"/>
      <c r="I46" s="442" t="s"/>
      <c r="J46" s="443" t="s"/>
      <c r="K46" s="434" t="n">
        <f aca="false" ca="false" dt2D="false" dtr="false" t="normal">SUM(L19)</f>
        <v>153.54800000000003</v>
      </c>
      <c r="L46" s="4" t="n"/>
      <c r="M46" s="4" t="n"/>
      <c r="N46" s="4" t="n"/>
      <c r="O46" s="4" t="n"/>
      <c r="P46" s="4" t="n"/>
    </row>
    <row customHeight="true" hidden="false" ht="33" outlineLevel="0" r="47">
      <c r="A47" s="67" t="n">
        <v>3</v>
      </c>
      <c r="B47" s="177" t="s">
        <v>244</v>
      </c>
      <c r="C47" s="449" t="s"/>
      <c r="D47" s="450" t="s"/>
      <c r="E47" s="451" t="s"/>
      <c r="F47" s="452" t="s"/>
      <c r="G47" s="453" t="s"/>
      <c r="H47" s="454" t="s"/>
      <c r="I47" s="455" t="s"/>
      <c r="J47" s="457" t="s"/>
      <c r="K47" s="459" t="n">
        <f aca="false" ca="false" dt2D="false" dtr="false" t="normal">SUM(M26)/1000</f>
        <v>0.315669</v>
      </c>
      <c r="L47" s="4" t="n"/>
      <c r="M47" s="4" t="n"/>
      <c r="N47" s="4" t="n"/>
      <c r="O47" s="4" t="n"/>
      <c r="P47" s="4" t="n"/>
    </row>
    <row customHeight="true" hidden="false" ht="15.75" outlineLevel="0" r="48">
      <c r="A48" s="67" t="n">
        <v>4</v>
      </c>
      <c r="B48" s="177" t="s">
        <v>245</v>
      </c>
      <c r="C48" s="463" t="s"/>
      <c r="D48" s="465" t="s"/>
      <c r="E48" s="466" t="s"/>
      <c r="F48" s="467" t="s"/>
      <c r="G48" s="468" t="s"/>
      <c r="H48" s="469" t="s"/>
      <c r="I48" s="470" t="s"/>
      <c r="J48" s="473" t="s"/>
      <c r="K48" s="434" t="n">
        <f aca="false" ca="false" dt2D="false" dtr="false" t="normal">SUM(K41)</f>
        <v>4358.097057442797</v>
      </c>
      <c r="L48" s="4" t="n"/>
      <c r="M48" s="4" t="n"/>
      <c r="N48" s="4" t="n"/>
      <c r="O48" s="4" t="n"/>
      <c r="P48" s="4" t="n"/>
    </row>
    <row customHeight="true" hidden="false" ht="15.75" outlineLevel="0" r="49">
      <c r="A49" s="67" t="n">
        <v>5</v>
      </c>
      <c r="B49" s="189" t="s">
        <v>247</v>
      </c>
      <c r="C49" s="477" t="s"/>
      <c r="D49" s="479" t="s"/>
      <c r="E49" s="481" t="s"/>
      <c r="F49" s="482" t="s"/>
      <c r="G49" s="483" t="s"/>
      <c r="H49" s="485" t="s"/>
      <c r="I49" s="486" t="s"/>
      <c r="J49" s="487" t="s"/>
      <c r="K49" s="434" t="n">
        <f aca="false" ca="false" dt2D="false" dtr="false" t="normal">SUM(K45:K48)</f>
        <v>10052.669737692799</v>
      </c>
      <c r="L49" s="4" t="n"/>
      <c r="M49" s="4" t="n"/>
      <c r="N49" s="4" t="n"/>
      <c r="O49" s="4" t="n"/>
      <c r="P49" s="4" t="n"/>
    </row>
    <row hidden="false" ht="15.75" outlineLevel="0" r="50">
      <c r="A50" s="67" t="n">
        <v>6</v>
      </c>
      <c r="B50" s="492" t="s">
        <v>208</v>
      </c>
      <c r="C50" s="493" t="n"/>
      <c r="D50" s="493" t="n"/>
      <c r="E50" s="493" t="n"/>
      <c r="F50" s="493" t="n"/>
      <c r="G50" s="493" t="n"/>
      <c r="H50" s="493" t="n"/>
      <c r="I50" s="493" t="n"/>
      <c r="J50" s="494" t="n"/>
      <c r="K50" s="434" t="n">
        <f aca="false" ca="false" dt2D="false" dtr="false" t="normal">SUM(K49*0.22)</f>
        <v>2211.5873422924155</v>
      </c>
      <c r="L50" s="4" t="n"/>
      <c r="M50" s="4" t="n"/>
      <c r="N50" s="4" t="n"/>
      <c r="O50" s="4" t="n"/>
      <c r="P50" s="4" t="n"/>
    </row>
    <row customHeight="true" hidden="false" ht="15.75" outlineLevel="0" r="51">
      <c r="A51" s="67" t="n"/>
      <c r="B51" s="177" t="s">
        <v>211</v>
      </c>
      <c r="C51" s="502" t="s"/>
      <c r="D51" s="503" t="s"/>
      <c r="E51" s="505" t="s"/>
      <c r="F51" s="506" t="s"/>
      <c r="G51" s="507" t="s"/>
      <c r="H51" s="508" t="s"/>
      <c r="I51" s="509" t="s"/>
      <c r="J51" s="510" t="s"/>
      <c r="K51" s="512" t="n">
        <f aca="false" ca="false" dt2D="false" dtr="false" t="normal">SUM(K49+K50)-164</f>
        <v>12100.257079985215</v>
      </c>
      <c r="L51" s="4" t="n"/>
      <c r="M51" s="4" t="n"/>
      <c r="N51" s="4" t="n"/>
      <c r="O51" s="4" t="n"/>
      <c r="P51" s="4" t="n"/>
    </row>
    <row customHeight="true" hidden="false" ht="24.75" outlineLevel="0" r="52">
      <c r="A52" s="4" t="n"/>
      <c r="B52" s="519" t="n"/>
      <c r="C52" s="519" t="s"/>
      <c r="D52" s="519" t="s"/>
      <c r="E52" s="519" t="s"/>
      <c r="F52" s="519" t="s"/>
      <c r="G52" s="519" t="s"/>
      <c r="H52" s="519" t="s"/>
      <c r="I52" s="519" t="s"/>
      <c r="J52" s="519" t="s"/>
      <c r="K52" s="519" t="s"/>
      <c r="L52" s="143" t="n"/>
      <c r="M52" s="143" t="n"/>
      <c r="N52" s="143" t="n"/>
      <c r="O52" s="143" t="n"/>
      <c r="P52" s="143" t="n"/>
    </row>
    <row customHeight="true" hidden="false" ht="29.25" outlineLevel="0" r="53">
      <c r="A53" s="4" t="n"/>
      <c r="B53" s="519" t="n"/>
      <c r="C53" s="519" t="s"/>
      <c r="D53" s="519" t="s"/>
      <c r="E53" s="519" t="s"/>
      <c r="F53" s="519" t="s"/>
      <c r="G53" s="519" t="s"/>
      <c r="H53" s="519" t="s"/>
      <c r="I53" s="519" t="s"/>
      <c r="J53" s="519" t="s"/>
      <c r="K53" s="519" t="s"/>
      <c r="L53" s="143" t="n"/>
      <c r="M53" s="143" t="n"/>
      <c r="N53" s="143" t="n"/>
      <c r="O53" s="143" t="n"/>
      <c r="P53" s="143" t="n"/>
    </row>
    <row hidden="false" ht="15.75" outlineLevel="0" r="5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98">
    <mergeCell ref="H4:N4"/>
    <mergeCell ref="B7:N7"/>
    <mergeCell ref="I10:K10"/>
    <mergeCell ref="L10:N10"/>
    <mergeCell ref="B10:C10"/>
    <mergeCell ref="D10:F10"/>
    <mergeCell ref="G10:H10"/>
    <mergeCell ref="G11:H11"/>
    <mergeCell ref="D11:F11"/>
    <mergeCell ref="B11:C11"/>
    <mergeCell ref="I11:K11"/>
    <mergeCell ref="L11:N11"/>
    <mergeCell ref="B12:C12"/>
    <mergeCell ref="D12:F12"/>
    <mergeCell ref="G12:H12"/>
    <mergeCell ref="B13:C13"/>
    <mergeCell ref="D13:F13"/>
    <mergeCell ref="G13:H13"/>
    <mergeCell ref="I12:K12"/>
    <mergeCell ref="L12:N12"/>
    <mergeCell ref="I13:K13"/>
    <mergeCell ref="L13:N13"/>
    <mergeCell ref="B14:C14"/>
    <mergeCell ref="D14:F14"/>
    <mergeCell ref="G14:H14"/>
    <mergeCell ref="I14:K14"/>
    <mergeCell ref="L14:N14"/>
    <mergeCell ref="B15:F15"/>
    <mergeCell ref="I15:K15"/>
    <mergeCell ref="L15:N15"/>
    <mergeCell ref="B16:C16"/>
    <mergeCell ref="D16:F16"/>
    <mergeCell ref="G16:H16"/>
    <mergeCell ref="I16:K16"/>
    <mergeCell ref="L16:N16"/>
    <mergeCell ref="B17:C17"/>
    <mergeCell ref="D17:F17"/>
    <mergeCell ref="B18:C18"/>
    <mergeCell ref="D18:F18"/>
    <mergeCell ref="G17:H17"/>
    <mergeCell ref="B19:C19"/>
    <mergeCell ref="D19:F19"/>
    <mergeCell ref="G18:H18"/>
    <mergeCell ref="G19:H19"/>
    <mergeCell ref="I17:K17"/>
    <mergeCell ref="I18:K18"/>
    <mergeCell ref="I19:K19"/>
    <mergeCell ref="L17:N17"/>
    <mergeCell ref="L18:N18"/>
    <mergeCell ref="L19:N19"/>
    <mergeCell ref="M23:N23"/>
    <mergeCell ref="M22:N22"/>
    <mergeCell ref="M26:N26"/>
    <mergeCell ref="B22:C22"/>
    <mergeCell ref="D22:F22"/>
    <mergeCell ref="B23:C23"/>
    <mergeCell ref="D23:F23"/>
    <mergeCell ref="H22:I22"/>
    <mergeCell ref="J22:L22"/>
    <mergeCell ref="H23:I23"/>
    <mergeCell ref="J23:L23"/>
    <mergeCell ref="M24:N24"/>
    <mergeCell ref="M25:N25"/>
    <mergeCell ref="J24:L24"/>
    <mergeCell ref="J25:L25"/>
    <mergeCell ref="H24:I24"/>
    <mergeCell ref="D24:F24"/>
    <mergeCell ref="B24:C24"/>
    <mergeCell ref="B25:C25"/>
    <mergeCell ref="D25:F25"/>
    <mergeCell ref="H25:I25"/>
    <mergeCell ref="J26:L26"/>
    <mergeCell ref="D26:F26"/>
    <mergeCell ref="H26:I26"/>
    <mergeCell ref="B26:C26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A43:K43"/>
    <mergeCell ref="B44:J44"/>
    <mergeCell ref="B45:J45"/>
    <mergeCell ref="B41:J41"/>
    <mergeCell ref="B46:J46"/>
    <mergeCell ref="B47:J47"/>
    <mergeCell ref="B48:J48"/>
    <mergeCell ref="B49:J49"/>
    <mergeCell ref="B51:J51"/>
    <mergeCell ref="B52:K52"/>
    <mergeCell ref="B53:K53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30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24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2" min="2" outlineLevel="0" style="398" width="25.3536420717647"/>
    <col customWidth="true" hidden="false" max="3" min="3" outlineLevel="0" style="398" width="30.9965549307121"/>
    <col customWidth="true" hidden="false" max="4" min="4" outlineLevel="0" style="398" width="15.6363901493179"/>
    <col customWidth="true" hidden="false" max="5" min="5" outlineLevel="0" style="398" width="12.2526158589574"/>
    <col customWidth="true" hidden="false" max="6" min="6" outlineLevel="0" style="398" width="19.8587090218185"/>
  </cols>
  <sheetData>
    <row hidden="false" ht="15.75" outlineLevel="0" r="1">
      <c r="D1" s="101" t="s">
        <v>175</v>
      </c>
    </row>
    <row hidden="false" ht="15.75" outlineLevel="0" r="2">
      <c r="D2" s="105" t="s">
        <v>176</v>
      </c>
    </row>
    <row hidden="false" ht="15.75" outlineLevel="0" r="3">
      <c r="D3" s="101" t="s">
        <v>226</v>
      </c>
    </row>
    <row hidden="false" ht="15.75" outlineLevel="0" r="4">
      <c r="D4" s="105" t="s">
        <v>178</v>
      </c>
    </row>
    <row hidden="false" ht="15.75" outlineLevel="0" r="5">
      <c r="D5" s="105" t="n"/>
    </row>
    <row customHeight="true" hidden="false" ht="56.25" outlineLevel="0" r="6">
      <c r="A6" s="403" t="s">
        <v>443</v>
      </c>
      <c r="B6" s="403" t="s"/>
      <c r="C6" s="403" t="s"/>
      <c r="D6" s="403" t="s"/>
      <c r="E6" s="403" t="s"/>
      <c r="F6" s="403" t="s"/>
    </row>
    <row hidden="false" ht="110.25" outlineLevel="0" r="7">
      <c r="A7" s="4986" t="n"/>
      <c r="B7" s="259" t="s">
        <v>184</v>
      </c>
      <c r="C7" s="259" t="s">
        <v>233</v>
      </c>
      <c r="D7" s="259" t="s">
        <v>186</v>
      </c>
      <c r="E7" s="129" t="s">
        <v>437</v>
      </c>
      <c r="F7" s="129" t="s">
        <v>266</v>
      </c>
    </row>
    <row hidden="false" ht="15.75" outlineLevel="0" r="8">
      <c r="A8" s="159" t="n">
        <v>1</v>
      </c>
      <c r="B8" s="5014" t="s">
        <v>427</v>
      </c>
      <c r="C8" s="153" t="n">
        <f aca="false" ca="false" dt2D="false" dtr="false" t="normal">67733*1.13</f>
        <v>76538.29</v>
      </c>
      <c r="D8" s="153" t="n">
        <v>10080</v>
      </c>
      <c r="E8" s="384" t="n">
        <f aca="false" ca="false" dt2D="false" dtr="false" t="normal">SUM(16*60)</f>
        <v>960</v>
      </c>
      <c r="F8" s="153" t="n">
        <f aca="false" ca="false" dt2D="false" dtr="false" t="normal">C8/D8*E8</f>
        <v>7289.360952380951</v>
      </c>
    </row>
    <row hidden="false" ht="15.75" outlineLevel="0" r="9">
      <c r="A9" s="1185" t="n"/>
      <c r="B9" s="4987" t="s">
        <v>183</v>
      </c>
      <c r="C9" s="225" t="n"/>
      <c r="D9" s="225" t="n"/>
      <c r="E9" s="225" t="n"/>
      <c r="F9" s="4988" t="n">
        <f aca="false" ca="false" dt2D="false" dtr="false" t="normal">SUM(F8)</f>
        <v>7289.360952380951</v>
      </c>
    </row>
    <row hidden="false" ht="15.75" outlineLevel="0" r="10">
      <c r="A10" s="195" t="n"/>
      <c r="B10" s="3253" t="n"/>
      <c r="C10" s="3253" t="n"/>
      <c r="D10" s="3253" t="n"/>
      <c r="E10" s="3253" t="n"/>
      <c r="F10" s="3253" t="n"/>
    </row>
    <row hidden="false" ht="47.25" outlineLevel="0" r="11">
      <c r="A11" s="1185" t="n"/>
      <c r="B11" s="4991" t="s">
        <v>12</v>
      </c>
      <c r="C11" s="4992" t="s">
        <v>429</v>
      </c>
      <c r="D11" s="4992" t="s">
        <v>382</v>
      </c>
      <c r="E11" s="4992" t="s">
        <v>430</v>
      </c>
      <c r="F11" s="4992" t="s">
        <v>431</v>
      </c>
    </row>
    <row hidden="false" ht="15.75" outlineLevel="0" r="12">
      <c r="A12" s="95" t="n">
        <v>1</v>
      </c>
      <c r="B12" s="4985" t="s">
        <v>444</v>
      </c>
      <c r="C12" s="4989" t="n">
        <v>1281996</v>
      </c>
      <c r="D12" s="4989" t="n">
        <f aca="false" ca="false" dt2D="false" dtr="false" t="normal">C12*6.6%</f>
        <v>84611.736</v>
      </c>
      <c r="E12" s="33" t="n">
        <v>5</v>
      </c>
      <c r="F12" s="285" t="n">
        <f aca="false" ca="false" dt2D="false" dtr="false" t="normal">D12*E12/100</f>
        <v>4230.586800000001</v>
      </c>
    </row>
    <row customHeight="true" hidden="false" ht="30.75" outlineLevel="0" r="13">
      <c r="A13" s="95" t="n">
        <v>2</v>
      </c>
      <c r="B13" s="3314" t="s">
        <v>442</v>
      </c>
      <c r="C13" s="4989" t="n">
        <f aca="false" ca="false" dt2D="false" dtr="false" t="normal">507350*4.25</f>
        <v>2156237.5</v>
      </c>
      <c r="D13" s="4989" t="n">
        <f aca="false" ca="false" dt2D="false" dtr="false" t="normal">C13*6.6%</f>
        <v>142311.67500000002</v>
      </c>
      <c r="E13" s="33" t="n">
        <v>5</v>
      </c>
      <c r="F13" s="285" t="n">
        <f aca="false" ca="false" dt2D="false" dtr="false" t="normal">D13*E13/100</f>
        <v>7115.583750000002</v>
      </c>
    </row>
    <row hidden="false" ht="15.75" outlineLevel="0" r="14">
      <c r="A14" s="1185" t="n"/>
      <c r="B14" s="4985" t="n"/>
      <c r="C14" s="4985" t="n"/>
      <c r="D14" s="4985" t="n"/>
      <c r="E14" s="4989" t="n"/>
      <c r="F14" s="4990" t="n">
        <f aca="false" ca="false" dt2D="false" dtr="false" t="normal">SUM(F12:F13)</f>
        <v>11346.170550000003</v>
      </c>
    </row>
    <row hidden="false" ht="15.75" outlineLevel="0" r="15">
      <c r="A15" s="195" t="n"/>
      <c r="B15" s="3253" t="n"/>
      <c r="C15" s="3253" t="n"/>
      <c r="D15" s="3253" t="n"/>
      <c r="E15" s="4993" t="n"/>
      <c r="F15" s="4994" t="n"/>
    </row>
    <row customHeight="true" hidden="false" ht="54.75" outlineLevel="0" r="16">
      <c r="A16" s="3711" t="s">
        <v>445</v>
      </c>
      <c r="B16" s="5015" t="s"/>
      <c r="C16" s="5016" t="s"/>
      <c r="D16" s="5017" t="s"/>
      <c r="E16" s="4999" t="n"/>
      <c r="F16" s="5001" t="n"/>
    </row>
    <row hidden="false" ht="31.5" outlineLevel="0" r="17">
      <c r="A17" s="124" t="n"/>
      <c r="B17" s="4996" t="s">
        <v>191</v>
      </c>
      <c r="C17" s="4996" t="s">
        <v>192</v>
      </c>
      <c r="D17" s="5000" t="s">
        <v>221</v>
      </c>
      <c r="E17" s="4999" t="n"/>
      <c r="F17" s="4999" t="n"/>
    </row>
    <row hidden="false" ht="63" outlineLevel="0" r="18">
      <c r="A18" s="20" t="n">
        <v>1</v>
      </c>
      <c r="B18" s="5010" t="s">
        <v>364</v>
      </c>
      <c r="C18" s="5011" t="s">
        <v>197</v>
      </c>
      <c r="D18" s="434" t="n">
        <f aca="false" ca="false" dt2D="false" dtr="false" t="normal">F9</f>
        <v>7289.360952380951</v>
      </c>
      <c r="E18" s="4999" t="n"/>
      <c r="F18" s="4999" t="n"/>
    </row>
    <row hidden="false" ht="15.75" outlineLevel="0" r="19">
      <c r="A19" s="3132" t="n">
        <v>2</v>
      </c>
      <c r="B19" s="5012" t="s">
        <v>434</v>
      </c>
      <c r="C19" s="5000" t="s">
        <v>197</v>
      </c>
      <c r="D19" s="3728" t="n">
        <f aca="false" ca="false" dt2D="false" dtr="false" t="normal">F14</f>
        <v>11346.170550000003</v>
      </c>
      <c r="E19" s="4999" t="n"/>
      <c r="F19" s="4999" t="n"/>
    </row>
    <row hidden="false" ht="31.5" outlineLevel="0" r="20">
      <c r="A20" s="3132" t="n">
        <v>3</v>
      </c>
      <c r="B20" s="5010" t="s">
        <v>433</v>
      </c>
      <c r="C20" s="5000" t="s">
        <v>197</v>
      </c>
      <c r="D20" s="3728" t="n">
        <f aca="false" ca="false" dt2D="false" dtr="false" t="normal">SUM(D18:D19)</f>
        <v>18635.531502380953</v>
      </c>
      <c r="E20" s="4999" t="n"/>
      <c r="F20" s="4999" t="n"/>
    </row>
    <row hidden="false" ht="15.75" outlineLevel="0" r="21">
      <c r="A21" s="20" t="n">
        <v>4</v>
      </c>
      <c r="B21" s="5013" t="s">
        <v>208</v>
      </c>
      <c r="C21" s="5000" t="s">
        <v>197</v>
      </c>
      <c r="D21" s="3728" t="n">
        <f aca="false" ca="false" dt2D="false" dtr="false" t="normal">SUM(D20*0.22)</f>
        <v>4099.81693052381</v>
      </c>
      <c r="E21" s="4999" t="n"/>
      <c r="F21" s="4999" t="n"/>
    </row>
    <row hidden="false" ht="15.75" outlineLevel="0" r="22">
      <c r="A22" s="20" t="n"/>
      <c r="B22" s="5013" t="s">
        <v>446</v>
      </c>
      <c r="C22" s="61" t="n"/>
      <c r="D22" s="434" t="n">
        <f aca="false" ca="false" dt2D="false" dtr="false" t="normal">SUM(D20:D21)-735</f>
        <v>22000.348432904764</v>
      </c>
    </row>
    <row hidden="false" ht="15.75" outlineLevel="0" r="23">
      <c r="A23" s="20" t="n"/>
      <c r="B23" s="5013" t="s">
        <v>447</v>
      </c>
      <c r="C23" s="61" t="n"/>
      <c r="D23" s="434" t="n">
        <f aca="false" ca="false" dt2D="false" dtr="false" t="normal">SUM(D22*0.5)</f>
        <v>11000.174216452382</v>
      </c>
    </row>
    <row hidden="false" ht="15.75" outlineLevel="0" r="24">
      <c r="A24" s="20" t="n"/>
      <c r="B24" s="5013" t="s">
        <v>448</v>
      </c>
      <c r="C24" s="61" t="n"/>
      <c r="D24" s="434" t="n">
        <v>500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2">
    <mergeCell ref="A6:F6"/>
    <mergeCell ref="A16:D16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xl/worksheets/sheet3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19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2" min="2" outlineLevel="0" style="398" width="21.5456626044791"/>
    <col customWidth="true" hidden="false" max="3" min="3" outlineLevel="0" style="398" width="25.7778458953602"/>
    <col customWidth="true" hidden="false" max="4" min="4" outlineLevel="0" style="398" width="16.3368220474961"/>
    <col customWidth="true" hidden="false" max="5" min="5" outlineLevel="0" style="398" width="15.4884116936461"/>
    <col customWidth="true" hidden="false" max="6" min="6" outlineLevel="0" style="398" width="15.3502990096843"/>
  </cols>
  <sheetData>
    <row hidden="false" ht="15.75" outlineLevel="0" r="2">
      <c r="A2" s="1533" t="n"/>
      <c r="B2" s="1533" t="n"/>
      <c r="D2" s="101" t="s">
        <v>175</v>
      </c>
      <c r="E2" s="1533" t="n"/>
    </row>
    <row hidden="false" ht="15.75" outlineLevel="0" r="3">
      <c r="A3" s="1533" t="n"/>
      <c r="B3" s="1533" t="n"/>
      <c r="D3" s="105" t="s">
        <v>176</v>
      </c>
    </row>
    <row hidden="false" ht="15.75" outlineLevel="0" r="4">
      <c r="A4" s="1533" t="n"/>
      <c r="B4" s="1533" t="n"/>
      <c r="D4" s="101" t="s">
        <v>226</v>
      </c>
    </row>
    <row hidden="false" ht="15.75" outlineLevel="0" r="5">
      <c r="A5" s="1533" t="n"/>
      <c r="B5" s="1533" t="n"/>
      <c r="D5" s="105" t="s">
        <v>178</v>
      </c>
    </row>
    <row hidden="false" ht="12.75" outlineLevel="0" r="6">
      <c r="A6" s="1533" t="n"/>
      <c r="B6" s="1533" t="n"/>
      <c r="C6" s="1533" t="n"/>
    </row>
    <row customHeight="true" hidden="false" ht="48" outlineLevel="0" r="7">
      <c r="A7" s="403" t="s">
        <v>449</v>
      </c>
      <c r="B7" s="403" t="s"/>
      <c r="C7" s="403" t="s"/>
      <c r="D7" s="403" t="s"/>
      <c r="E7" s="403" t="s"/>
      <c r="F7" s="403" t="s"/>
    </row>
    <row hidden="false" ht="94.5" outlineLevel="0" r="8">
      <c r="A8" s="3228" t="n"/>
      <c r="B8" s="5019" t="s">
        <v>184</v>
      </c>
      <c r="C8" s="259" t="s">
        <v>185</v>
      </c>
      <c r="D8" s="259" t="s">
        <v>186</v>
      </c>
      <c r="E8" s="129" t="s">
        <v>187</v>
      </c>
      <c r="F8" s="129" t="s">
        <v>347</v>
      </c>
    </row>
    <row hidden="false" ht="47.25" outlineLevel="0" r="9">
      <c r="A9" s="159" t="n">
        <v>1</v>
      </c>
      <c r="B9" s="5020" t="s">
        <v>450</v>
      </c>
      <c r="C9" s="153" t="n">
        <f aca="false" ca="false" dt2D="false" dtr="false" t="normal">67733*1.13</f>
        <v>76538.29</v>
      </c>
      <c r="D9" s="1" t="n">
        <f aca="false" ca="false" dt2D="false" dtr="false" t="normal">SUM(30*8)*60</f>
        <v>14400</v>
      </c>
      <c r="E9" s="17" t="n">
        <f aca="false" ca="false" dt2D="false" dtr="false" t="normal">SUM(30*8)*60</f>
        <v>14400</v>
      </c>
      <c r="F9" s="153" t="n">
        <f aca="false" ca="false" dt2D="false" dtr="false" t="normal">C9/D9*E9</f>
        <v>76538.29</v>
      </c>
    </row>
    <row hidden="false" ht="15.75" outlineLevel="0" r="10">
      <c r="A10" s="159" t="n"/>
      <c r="B10" s="5018" t="s">
        <v>183</v>
      </c>
      <c r="C10" s="225" t="n"/>
      <c r="D10" s="225" t="n"/>
      <c r="E10" s="225" t="n"/>
      <c r="F10" s="250" t="n">
        <f aca="false" ca="false" dt2D="false" dtr="false" t="normal">SUM(F9)</f>
        <v>76538.29</v>
      </c>
    </row>
    <row hidden="false" ht="15.75" outlineLevel="0" r="11">
      <c r="A11" s="265" t="n"/>
      <c r="B11" s="5021" t="n"/>
      <c r="C11" s="5022" t="n"/>
      <c r="D11" s="5022" t="n"/>
      <c r="E11" s="5022" t="n"/>
      <c r="F11" s="5023" t="n"/>
    </row>
    <row hidden="false" ht="15.75" outlineLevel="0" r="12">
      <c r="A12" s="195" t="n"/>
      <c r="B12" s="5024" t="n"/>
      <c r="C12" s="5024" t="n"/>
      <c r="D12" s="5024" t="n"/>
      <c r="E12" s="4999" t="n"/>
      <c r="F12" s="4999" t="n"/>
    </row>
    <row customHeight="true" hidden="false" ht="31.5" outlineLevel="0" r="13">
      <c r="A13" s="17" t="n"/>
      <c r="B13" s="4992" t="s">
        <v>191</v>
      </c>
      <c r="C13" s="5025" t="s"/>
      <c r="D13" s="4996" t="s">
        <v>192</v>
      </c>
      <c r="E13" s="5000" t="s">
        <v>221</v>
      </c>
      <c r="F13" s="4999" t="n"/>
    </row>
    <row customHeight="true" hidden="false" ht="33.75" outlineLevel="0" r="14">
      <c r="A14" s="20" t="n">
        <v>1</v>
      </c>
      <c r="B14" s="5010" t="s">
        <v>364</v>
      </c>
      <c r="C14" s="5026" t="s"/>
      <c r="D14" s="4993" t="s">
        <v>197</v>
      </c>
      <c r="E14" s="3750" t="n">
        <f aca="false" ca="false" dt2D="false" dtr="false" t="normal">F10</f>
        <v>76538.29</v>
      </c>
      <c r="F14" s="4999" t="n"/>
    </row>
    <row customHeight="true" hidden="false" ht="15.75" outlineLevel="0" r="15">
      <c r="A15" s="3132" t="n">
        <v>2</v>
      </c>
      <c r="B15" s="5010" t="s">
        <v>219</v>
      </c>
      <c r="C15" s="5027" t="s"/>
      <c r="D15" s="5006" t="s">
        <v>197</v>
      </c>
      <c r="E15" s="184" t="n">
        <f aca="false" ca="false" dt2D="false" dtr="false" t="normal">SUM(E14*0.11)</f>
        <v>8419.2119</v>
      </c>
      <c r="F15" s="4999" t="n"/>
    </row>
    <row customHeight="true" hidden="false" ht="15.75" outlineLevel="0" r="16">
      <c r="A16" s="3132" t="n">
        <v>3</v>
      </c>
      <c r="B16" s="5010" t="s">
        <v>451</v>
      </c>
      <c r="C16" s="5030" t="s"/>
      <c r="D16" s="5006" t="s">
        <v>197</v>
      </c>
      <c r="E16" s="3728" t="n">
        <f aca="false" ca="false" dt2D="false" dtr="false" t="normal">SUM(E14:E15)</f>
        <v>84957.50189999999</v>
      </c>
      <c r="F16" s="4999" t="n"/>
    </row>
    <row customHeight="true" hidden="false" ht="15.75" outlineLevel="0" r="17">
      <c r="A17" s="20" t="n">
        <v>4</v>
      </c>
      <c r="B17" s="5028" t="s">
        <v>208</v>
      </c>
      <c r="C17" s="5029" t="s"/>
      <c r="D17" s="5006" t="s">
        <v>197</v>
      </c>
      <c r="E17" s="3728" t="n">
        <f aca="false" ca="false" dt2D="false" dtr="false" t="normal">SUM(E16*0.22)</f>
        <v>18690.650417999997</v>
      </c>
      <c r="F17" s="4999" t="n"/>
    </row>
    <row customHeight="true" hidden="false" ht="15.75" outlineLevel="0" r="18">
      <c r="A18" s="20" t="n"/>
      <c r="B18" s="5028" t="s">
        <v>452</v>
      </c>
      <c r="C18" s="5031" t="s"/>
      <c r="D18" s="5006" t="s">
        <v>197</v>
      </c>
      <c r="E18" s="3736" t="n">
        <f aca="false" ca="false" dt2D="false" dtr="false" t="normal">SUM(E16:E17)-648</f>
        <v>103000.15231799998</v>
      </c>
    </row>
    <row customHeight="true" hidden="false" ht="15.75" outlineLevel="0" r="19">
      <c r="A19" s="20" t="n"/>
      <c r="B19" s="5028" t="s">
        <v>453</v>
      </c>
      <c r="C19" s="5032" t="s"/>
      <c r="D19" s="5006" t="s">
        <v>197</v>
      </c>
      <c r="E19" s="5033" t="n">
        <f aca="false" ca="false" dt2D="false" dtr="false" t="normal">SUM(E18)/30/24*9+12</f>
        <v>1299.5019039749998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8">
    <mergeCell ref="A7:F7"/>
    <mergeCell ref="B13:C13"/>
    <mergeCell ref="B14:C14"/>
    <mergeCell ref="B15:C15"/>
    <mergeCell ref="B16:C16"/>
    <mergeCell ref="B17:C17"/>
    <mergeCell ref="B18:C18"/>
    <mergeCell ref="B19:C19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xl/worksheets/sheet3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21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2" min="2" outlineLevel="0" style="398" width="22.3940729583291"/>
    <col customWidth="true" hidden="false" max="3" min="3" outlineLevel="0" style="398" width="20.7071180223391"/>
    <col customWidth="true" hidden="false" max="4" min="4" outlineLevel="0" style="398" width="16.0605953262429"/>
    <col customWidth="true" hidden="false" max="5" min="5" outlineLevel="0" style="398" width="14.0875492506192"/>
    <col customWidth="true" hidden="false" max="6" min="6" outlineLevel="0" style="398" width="15.7745028332798"/>
  </cols>
  <sheetData>
    <row hidden="false" ht="15.75" outlineLevel="0" r="1">
      <c r="A1" s="1533" t="n"/>
      <c r="B1" s="1533" t="n"/>
      <c r="D1" s="101" t="s">
        <v>175</v>
      </c>
    </row>
    <row hidden="false" ht="15.75" outlineLevel="0" r="2">
      <c r="A2" s="1533" t="n"/>
      <c r="B2" s="1533" t="n"/>
      <c r="D2" s="105" t="s">
        <v>176</v>
      </c>
    </row>
    <row hidden="false" ht="15.75" outlineLevel="0" r="3">
      <c r="A3" s="1533" t="n"/>
      <c r="B3" s="1533" t="n"/>
      <c r="D3" s="101" t="s">
        <v>226</v>
      </c>
    </row>
    <row hidden="false" ht="15.75" outlineLevel="0" r="4">
      <c r="A4" s="1533" t="n"/>
      <c r="B4" s="1533" t="n"/>
      <c r="D4" s="105" t="s">
        <v>178</v>
      </c>
    </row>
    <row hidden="false" ht="12.75" outlineLevel="0" r="5">
      <c r="A5" s="93" t="n"/>
      <c r="B5" s="93" t="n"/>
      <c r="C5" s="93" t="n"/>
    </row>
    <row customHeight="true" hidden="false" ht="15.75" outlineLevel="0" r="6">
      <c r="A6" s="403" t="s">
        <v>454</v>
      </c>
      <c r="B6" s="403" t="s"/>
      <c r="C6" s="403" t="s"/>
      <c r="D6" s="403" t="s"/>
      <c r="E6" s="403" t="s"/>
      <c r="F6" s="403" t="s"/>
    </row>
    <row customHeight="true" hidden="false" ht="15.75" outlineLevel="0" r="7">
      <c r="A7" s="4" t="n"/>
      <c r="B7" s="3763" t="s">
        <v>379</v>
      </c>
      <c r="C7" s="3763" t="s"/>
      <c r="D7" s="3763" t="s"/>
      <c r="E7" s="3763" t="s"/>
      <c r="F7" s="3763" t="s"/>
    </row>
    <row hidden="false" ht="47.25" outlineLevel="0" r="8">
      <c r="A8" s="20" t="s">
        <v>239</v>
      </c>
      <c r="B8" s="129" t="s">
        <v>380</v>
      </c>
      <c r="C8" s="129" t="s">
        <v>415</v>
      </c>
      <c r="D8" s="129" t="s">
        <v>382</v>
      </c>
      <c r="E8" s="129" t="s">
        <v>383</v>
      </c>
      <c r="F8" s="129" t="s">
        <v>261</v>
      </c>
    </row>
    <row hidden="false" ht="15.75" outlineLevel="0" r="9">
      <c r="A9" s="3724" t="n">
        <v>1</v>
      </c>
      <c r="B9" s="124" t="s">
        <v>456</v>
      </c>
      <c r="C9" s="124" t="n">
        <v>65000</v>
      </c>
      <c r="D9" s="124" t="n">
        <f aca="false" ca="false" dt2D="false" dtr="false" t="normal">C9*6.6%</f>
        <v>4290</v>
      </c>
      <c r="E9" s="5038" t="n">
        <v>0.1</v>
      </c>
      <c r="F9" s="124" t="n">
        <f aca="false" ca="false" dt2D="false" dtr="false" t="normal">SUM(D9*E9)</f>
        <v>429</v>
      </c>
    </row>
    <row hidden="false" ht="15.75" outlineLevel="0" r="10">
      <c r="A10" s="3768" t="n"/>
      <c r="B10" s="32" t="s">
        <v>183</v>
      </c>
      <c r="C10" s="124" t="n"/>
      <c r="D10" s="124" t="n"/>
      <c r="E10" s="124" t="n"/>
      <c r="F10" s="4952" t="n">
        <f aca="false" ca="false" dt2D="false" dtr="false" t="normal">SUM(F9)</f>
        <v>429</v>
      </c>
    </row>
    <row hidden="false" ht="15.75" outlineLevel="0" r="11">
      <c r="A11" s="1764" t="n"/>
      <c r="B11" s="188" t="n"/>
      <c r="C11" s="4" t="n"/>
      <c r="D11" s="4" t="n"/>
      <c r="E11" s="4" t="n"/>
      <c r="F11" s="3771" t="n"/>
    </row>
    <row customHeight="true" hidden="false" ht="15.75" outlineLevel="0" r="12">
      <c r="A12" s="4" t="n"/>
      <c r="B12" s="444" t="s">
        <v>232</v>
      </c>
      <c r="C12" s="5034" t="s"/>
      <c r="D12" s="5035" t="s"/>
      <c r="E12" s="5036" t="s"/>
      <c r="F12" s="5037" t="s"/>
    </row>
    <row hidden="false" ht="126" outlineLevel="0" r="13">
      <c r="A13" s="20" t="s">
        <v>239</v>
      </c>
      <c r="B13" s="129" t="n"/>
      <c r="C13" s="129" t="s">
        <v>233</v>
      </c>
      <c r="D13" s="129" t="s">
        <v>186</v>
      </c>
      <c r="E13" s="129" t="s">
        <v>187</v>
      </c>
      <c r="F13" s="129" t="s">
        <v>266</v>
      </c>
    </row>
    <row hidden="false" ht="15.75" outlineLevel="0" r="14">
      <c r="A14" s="17" t="n">
        <v>1</v>
      </c>
      <c r="B14" s="32" t="s">
        <v>455</v>
      </c>
      <c r="C14" s="95" t="n">
        <f aca="false" ca="false" dt2D="false" dtr="false" t="normal">67733*1.13</f>
        <v>76538.29</v>
      </c>
      <c r="D14" s="95" t="n">
        <v>10080</v>
      </c>
      <c r="E14" s="95" t="n">
        <v>43</v>
      </c>
      <c r="F14" s="106" t="n">
        <f aca="false" ca="false" dt2D="false" dtr="false" t="normal">C14/D14*E14</f>
        <v>326.50262599206343</v>
      </c>
    </row>
    <row hidden="false" ht="15.75" outlineLevel="0" r="15">
      <c r="A15" s="383" t="n"/>
      <c r="B15" s="32" t="s">
        <v>183</v>
      </c>
      <c r="C15" s="95" t="n"/>
      <c r="D15" s="95" t="n"/>
      <c r="E15" s="95" t="n"/>
      <c r="F15" s="136" t="n">
        <f aca="false" ca="false" dt2D="false" dtr="false" t="normal">SUM(F14)</f>
        <v>326.50262599206343</v>
      </c>
    </row>
    <row customHeight="true" hidden="false" ht="49.5" outlineLevel="0" r="17">
      <c r="A17" s="5039" t="s">
        <v>457</v>
      </c>
      <c r="B17" s="5040" t="s"/>
      <c r="C17" s="5041" t="s"/>
      <c r="D17" s="5042" t="s"/>
      <c r="E17" s="5043" t="s"/>
    </row>
    <row customHeight="true" hidden="false" ht="49.5" outlineLevel="0" r="18">
      <c r="A18" s="124" t="s">
        <v>239</v>
      </c>
      <c r="B18" s="169" t="s">
        <v>191</v>
      </c>
      <c r="C18" s="5045" t="s"/>
      <c r="D18" s="3630" t="s">
        <v>192</v>
      </c>
      <c r="E18" s="3716" t="s">
        <v>261</v>
      </c>
    </row>
    <row customHeight="true" hidden="false" ht="54" outlineLevel="0" r="19">
      <c r="A19" s="20" t="n">
        <v>1</v>
      </c>
      <c r="B19" s="177" t="s">
        <v>393</v>
      </c>
      <c r="C19" s="5044" t="s"/>
      <c r="D19" s="3780" t="s">
        <v>394</v>
      </c>
      <c r="E19" s="5046" t="n">
        <f aca="false" ca="false" dt2D="false" dtr="false" t="normal">F15</f>
        <v>326.50262599206343</v>
      </c>
    </row>
    <row customHeight="true" hidden="false" ht="49.5" outlineLevel="0" r="20">
      <c r="A20" s="20" t="n">
        <f aca="false" ca="false" dt2D="false" dtr="false" t="normal">SUM(A19+1)</f>
        <v>2</v>
      </c>
      <c r="B20" s="177" t="s">
        <v>379</v>
      </c>
      <c r="C20" s="5048" t="s"/>
      <c r="D20" s="3785" t="s">
        <v>197</v>
      </c>
      <c r="E20" s="5046" t="n">
        <f aca="false" ca="false" dt2D="false" dtr="false" t="normal">SUM(F10)</f>
        <v>429</v>
      </c>
    </row>
    <row customHeight="true" hidden="false" ht="36.75" outlineLevel="0" r="21">
      <c r="A21" s="20" t="n"/>
      <c r="B21" s="3782" t="s">
        <v>458</v>
      </c>
      <c r="C21" s="5047" t="s"/>
      <c r="D21" s="3785" t="s">
        <v>197</v>
      </c>
      <c r="E21" s="5049" t="n">
        <f aca="false" ca="false" dt2D="false" dtr="false" t="normal">SUM(E19:E20)-6</f>
        <v>749.5026259920635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8">
    <mergeCell ref="A6:F6"/>
    <mergeCell ref="B7:F7"/>
    <mergeCell ref="B12:F12"/>
    <mergeCell ref="A17:E17"/>
    <mergeCell ref="B18:C18"/>
    <mergeCell ref="B19:C19"/>
    <mergeCell ref="B20:C20"/>
    <mergeCell ref="B21:C21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xl/worksheets/sheet3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N32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" min="1" outlineLevel="0" style="398" width="6.75768280901121"/>
    <col customWidth="true" hidden="false" max="11" min="11" outlineLevel="0" style="398" width="11.4042068584368"/>
    <col customWidth="true" hidden="false" max="14" min="14" outlineLevel="0" style="398" width="7.59622739115129"/>
  </cols>
  <sheetData>
    <row hidden="false" ht="15.75" outlineLevel="0" r="1">
      <c r="A1" s="93" t="n"/>
      <c r="B1" s="1524" t="n"/>
      <c r="C1" s="1524" t="n"/>
      <c r="D1" s="1524" t="n"/>
      <c r="E1" s="1524" t="n"/>
      <c r="F1" s="1524" t="n"/>
      <c r="G1" s="93" t="n"/>
      <c r="H1" s="1524" t="n"/>
      <c r="J1" s="101" t="s">
        <v>175</v>
      </c>
      <c r="K1" s="1524" t="n"/>
      <c r="L1" s="1524" t="n"/>
      <c r="M1" s="1524" t="n"/>
      <c r="N1" s="1524" t="n"/>
    </row>
    <row hidden="false" ht="15.75" outlineLevel="0" r="2">
      <c r="A2" s="93" t="n"/>
      <c r="B2" s="1524" t="n"/>
      <c r="C2" s="1524" t="n"/>
      <c r="D2" s="1524" t="n"/>
      <c r="E2" s="1524" t="n"/>
      <c r="F2" s="1524" t="n"/>
      <c r="G2" s="93" t="n"/>
      <c r="H2" s="1524" t="n"/>
      <c r="J2" s="105" t="s">
        <v>176</v>
      </c>
      <c r="K2" s="1524" t="n"/>
      <c r="L2" s="1524" t="n"/>
      <c r="M2" s="1524" t="n"/>
      <c r="N2" s="1524" t="n"/>
    </row>
    <row hidden="false" ht="15.75" outlineLevel="0" r="3">
      <c r="A3" s="93" t="n"/>
      <c r="B3" s="1524" t="n"/>
      <c r="C3" s="1524" t="n"/>
      <c r="D3" s="1524" t="n"/>
      <c r="E3" s="1524" t="n"/>
      <c r="F3" s="1524" t="n"/>
      <c r="G3" s="93" t="n"/>
      <c r="H3" s="1524" t="n"/>
      <c r="J3" s="101" t="s">
        <v>226</v>
      </c>
      <c r="K3" s="1524" t="n"/>
      <c r="L3" s="1524" t="n"/>
      <c r="M3" s="1524" t="n"/>
      <c r="N3" s="1524" t="n"/>
    </row>
    <row hidden="false" ht="15.75" outlineLevel="0" r="4">
      <c r="A4" s="93" t="n"/>
      <c r="B4" s="1524" t="n"/>
      <c r="C4" s="1524" t="n"/>
      <c r="D4" s="1524" t="n"/>
      <c r="E4" s="1524" t="n"/>
      <c r="F4" s="1524" t="n"/>
      <c r="G4" s="93" t="n"/>
      <c r="H4" s="1524" t="n"/>
      <c r="J4" s="105" t="s">
        <v>178</v>
      </c>
      <c r="K4" s="1524" t="n"/>
      <c r="L4" s="1524" t="n"/>
      <c r="M4" s="1524" t="n"/>
      <c r="N4" s="1524" t="n"/>
    </row>
    <row hidden="false" ht="15.75" outlineLevel="0" r="5">
      <c r="A5" s="93" t="n"/>
      <c r="B5" s="1524" t="n"/>
      <c r="C5" s="1524" t="n"/>
      <c r="D5" s="1524" t="n"/>
      <c r="E5" s="1524" t="n"/>
      <c r="F5" s="1524" t="n"/>
      <c r="G5" s="105" t="n"/>
      <c r="H5" s="1524" t="n"/>
      <c r="I5" s="1524" t="n"/>
      <c r="J5" s="1524" t="n"/>
      <c r="K5" s="1524" t="n"/>
      <c r="L5" s="1524" t="n"/>
      <c r="M5" s="1524" t="n"/>
      <c r="N5" s="1524" t="n"/>
    </row>
    <row customHeight="true" hidden="false" ht="15.75" outlineLevel="0" r="6">
      <c r="A6" s="3306" t="s">
        <v>461</v>
      </c>
      <c r="B6" s="3306" t="s"/>
      <c r="C6" s="3306" t="s"/>
      <c r="D6" s="3306" t="s"/>
      <c r="E6" s="3306" t="s"/>
      <c r="F6" s="3306" t="s"/>
      <c r="G6" s="3306" t="s"/>
      <c r="H6" s="3306" t="s"/>
      <c r="I6" s="3306" t="s"/>
      <c r="J6" s="3306" t="s"/>
      <c r="K6" s="3306" t="s"/>
      <c r="L6" s="3306" t="s"/>
      <c r="M6" s="3306" t="s"/>
      <c r="N6" s="3306" t="s"/>
    </row>
    <row customHeight="true" hidden="false" ht="38.25" outlineLevel="0" r="7">
      <c r="A7" s="4" t="n"/>
      <c r="B7" s="101" t="s">
        <v>232</v>
      </c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</row>
    <row customHeight="true" hidden="false" ht="51.75" outlineLevel="0" r="8">
      <c r="A8" s="17" t="n"/>
      <c r="B8" s="129" t="s">
        <v>184</v>
      </c>
      <c r="C8" s="5060" t="s"/>
      <c r="D8" s="129" t="s">
        <v>411</v>
      </c>
      <c r="E8" s="5061" t="s"/>
      <c r="F8" s="5062" t="s"/>
      <c r="G8" s="129" t="s">
        <v>186</v>
      </c>
      <c r="H8" s="5063" t="s"/>
      <c r="I8" s="129" t="s">
        <v>187</v>
      </c>
      <c r="J8" s="5064" t="s"/>
      <c r="K8" s="5065" t="s"/>
      <c r="L8" s="129" t="s">
        <v>347</v>
      </c>
      <c r="M8" s="5066" t="s"/>
      <c r="N8" s="5067" t="s"/>
    </row>
    <row customHeight="true" hidden="false" ht="15.75" outlineLevel="0" r="9">
      <c r="A9" s="17" t="n">
        <v>1</v>
      </c>
      <c r="B9" s="32" t="s">
        <v>362</v>
      </c>
      <c r="C9" s="5071" t="s"/>
      <c r="D9" s="225" t="n">
        <f aca="false" ca="false" dt2D="false" dtr="false" t="normal">68946*1.302</f>
        <v>89767.69200000001</v>
      </c>
      <c r="E9" s="5074" t="s"/>
      <c r="F9" s="5077" t="s"/>
      <c r="G9" s="225" t="n">
        <f aca="false" ca="false" dt2D="false" dtr="false" t="normal">SUM(22*8)*60</f>
        <v>10560</v>
      </c>
      <c r="H9" s="5081" t="s"/>
      <c r="I9" s="225" t="n">
        <f aca="false" ca="false" dt2D="false" dtr="false" t="normal">SUM(60*8)</f>
        <v>480</v>
      </c>
      <c r="J9" s="5083" t="s"/>
      <c r="K9" s="5084" t="s"/>
      <c r="L9" s="225" t="n">
        <f aca="false" ca="false" dt2D="false" dtr="false" t="normal">D9/G9*I9</f>
        <v>4080.3496363636364</v>
      </c>
      <c r="M9" s="5085" t="s"/>
      <c r="N9" s="5086" t="s"/>
    </row>
    <row customHeight="true" hidden="false" ht="15.75" outlineLevel="0" r="10">
      <c r="A10" s="124" t="n"/>
      <c r="B10" s="32" t="s">
        <v>183</v>
      </c>
      <c r="C10" s="5087" t="s"/>
      <c r="D10" s="225" t="n">
        <f aca="false" ca="false" dt2D="false" dtr="false" t="normal">SUM(D9:F9)</f>
        <v>89767.69200000001</v>
      </c>
      <c r="E10" s="5088" t="s"/>
      <c r="F10" s="5089" t="s"/>
      <c r="G10" s="225" t="n">
        <v>155921.366</v>
      </c>
      <c r="H10" s="5090" t="s"/>
      <c r="I10" s="225" t="n">
        <f aca="false" ca="false" dt2D="false" dtr="false" t="normal">SUM(I9:K9)</f>
        <v>480</v>
      </c>
      <c r="J10" s="5091" t="s"/>
      <c r="K10" s="5093" t="s"/>
      <c r="L10" s="225" t="n">
        <f aca="false" ca="false" dt2D="false" dtr="false" t="normal">SUM(L9:N9)</f>
        <v>4080.3496363636364</v>
      </c>
      <c r="M10" s="5101" t="s"/>
      <c r="N10" s="5102" t="s"/>
    </row>
    <row customHeight="true" hidden="false" ht="15.75" outlineLevel="0" r="11">
      <c r="A11" s="4" t="n"/>
      <c r="B11" s="188" t="n"/>
      <c r="C11" s="188" t="s"/>
      <c r="D11" s="119" t="n"/>
      <c r="E11" s="119" t="s"/>
      <c r="F11" s="119" t="s"/>
      <c r="G11" s="119" t="n"/>
      <c r="H11" s="119" t="s"/>
      <c r="I11" s="119" t="n"/>
      <c r="J11" s="119" t="s"/>
      <c r="K11" s="119" t="s"/>
      <c r="L11" s="119" t="n"/>
      <c r="M11" s="119" t="s"/>
      <c r="N11" s="119" t="s"/>
    </row>
    <row customHeight="true" hidden="false" ht="15.75" outlineLevel="0" r="12">
      <c r="A12" s="4" t="n"/>
      <c r="B12" s="195" t="s">
        <v>198</v>
      </c>
      <c r="C12" s="195" t="s"/>
      <c r="D12" s="195" t="s"/>
      <c r="E12" s="195" t="s"/>
      <c r="F12" s="195" t="s"/>
      <c r="G12" s="119" t="n"/>
      <c r="H12" s="119" t="s"/>
      <c r="I12" s="119" t="n"/>
      <c r="J12" s="119" t="s"/>
      <c r="K12" s="119" t="s"/>
      <c r="L12" s="119" t="n"/>
      <c r="M12" s="119" t="s"/>
      <c r="N12" s="119" t="s"/>
    </row>
    <row customHeight="true" hidden="false" ht="51" outlineLevel="0" r="13">
      <c r="A13" s="275" t="n"/>
      <c r="B13" s="129" t="s">
        <v>200</v>
      </c>
      <c r="C13" s="5112" t="s"/>
      <c r="D13" s="129" t="s">
        <v>201</v>
      </c>
      <c r="E13" s="5118" t="s"/>
      <c r="F13" s="5120" t="s"/>
      <c r="G13" s="129" t="s">
        <v>202</v>
      </c>
      <c r="H13" s="5122" t="s"/>
      <c r="I13" s="129" t="s">
        <v>463</v>
      </c>
      <c r="J13" s="5123" t="s"/>
      <c r="K13" s="5124" t="s"/>
      <c r="L13" s="129" t="s">
        <v>349</v>
      </c>
      <c r="M13" s="5125" t="s"/>
      <c r="N13" s="5126" t="s"/>
    </row>
    <row customHeight="true" hidden="false" ht="15.75" outlineLevel="0" r="14">
      <c r="A14" s="17" t="n">
        <v>1</v>
      </c>
      <c r="B14" s="32" t="s">
        <v>350</v>
      </c>
      <c r="C14" s="5131" t="s"/>
      <c r="D14" s="95" t="s">
        <v>464</v>
      </c>
      <c r="E14" s="5135" t="s"/>
      <c r="F14" s="5137" t="s"/>
      <c r="G14" s="95" t="n">
        <f aca="false" ca="false" dt2D="false" dtr="false" t="normal">12*8</f>
        <v>96</v>
      </c>
      <c r="H14" s="5138" t="s"/>
      <c r="I14" s="95" t="n">
        <v>77.1</v>
      </c>
      <c r="J14" s="5139" t="s"/>
      <c r="K14" s="5140" t="s"/>
      <c r="L14" s="225" t="n">
        <f aca="false" ca="false" dt2D="false" dtr="false" t="normal">G14*I14</f>
        <v>7401.599999999999</v>
      </c>
      <c r="M14" s="5149" t="s"/>
      <c r="N14" s="5150" t="s"/>
    </row>
    <row customHeight="true" hidden="false" ht="15.75" outlineLevel="0" r="15">
      <c r="A15" s="17" t="n">
        <v>2</v>
      </c>
      <c r="B15" s="32" t="s">
        <v>351</v>
      </c>
      <c r="C15" s="5151" t="s"/>
      <c r="D15" s="95" t="s">
        <v>464</v>
      </c>
      <c r="E15" s="5152" t="s"/>
      <c r="F15" s="5153" t="s"/>
      <c r="G15" s="95" t="n">
        <f aca="false" ca="false" dt2D="false" dtr="false" t="normal">0.24*8</f>
        <v>1.92</v>
      </c>
      <c r="H15" s="5158" t="s"/>
      <c r="I15" s="95" t="n">
        <v>625</v>
      </c>
      <c r="J15" s="5163" t="s"/>
      <c r="K15" s="5164" t="s"/>
      <c r="L15" s="225" t="n">
        <f aca="false" ca="false" dt2D="false" dtr="false" t="normal">G15*I15</f>
        <v>1200</v>
      </c>
      <c r="M15" s="5165" t="s"/>
      <c r="N15" s="5166" t="s"/>
    </row>
    <row customHeight="true" hidden="false" ht="15.75" outlineLevel="0" r="16">
      <c r="A16" s="124" t="n"/>
      <c r="B16" s="32" t="s">
        <v>183</v>
      </c>
      <c r="C16" s="5170" t="s"/>
      <c r="D16" s="95" t="n"/>
      <c r="E16" s="5174" t="s"/>
      <c r="F16" s="5176" t="s"/>
      <c r="G16" s="95" t="n"/>
      <c r="H16" s="5178" t="s"/>
      <c r="I16" s="95" t="n"/>
      <c r="J16" s="5179" t="s"/>
      <c r="K16" s="5180" t="s"/>
      <c r="L16" s="250" t="n">
        <f aca="false" ca="false" dt2D="false" dtr="false" t="normal">SUM(L14:N15)</f>
        <v>8601.599999999999</v>
      </c>
      <c r="M16" s="5181" t="s"/>
      <c r="N16" s="5182" t="s"/>
    </row>
    <row hidden="false" ht="15.75" outlineLevel="0" r="17">
      <c r="A17" s="4" t="n"/>
      <c r="B17" s="119" t="n"/>
      <c r="C17" s="119" t="n"/>
      <c r="D17" s="119" t="n"/>
      <c r="E17" s="119" t="n"/>
      <c r="F17" s="119" t="n"/>
      <c r="G17" s="119" t="n"/>
      <c r="H17" s="119" t="n"/>
      <c r="I17" s="119" t="n"/>
      <c r="J17" s="119" t="n"/>
      <c r="K17" s="119" t="n"/>
      <c r="L17" s="253" t="n"/>
      <c r="M17" s="253" t="n"/>
      <c r="N17" s="253" t="n"/>
    </row>
    <row hidden="false" ht="15.75" outlineLevel="0" r="18">
      <c r="A18" s="4" t="n"/>
      <c r="B18" s="105" t="s">
        <v>212</v>
      </c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</row>
    <row customHeight="true" hidden="false" ht="106.5" outlineLevel="0" r="19">
      <c r="A19" s="17" t="n"/>
      <c r="B19" s="129" t="s">
        <v>213</v>
      </c>
      <c r="C19" s="5050" t="s"/>
      <c r="D19" s="129" t="s">
        <v>214</v>
      </c>
      <c r="E19" s="5051" t="s"/>
      <c r="F19" s="5052" t="s"/>
      <c r="G19" s="259" t="s">
        <v>215</v>
      </c>
      <c r="H19" s="3183" t="s">
        <v>216</v>
      </c>
      <c r="I19" s="5053" t="s"/>
      <c r="J19" s="129" t="s">
        <v>217</v>
      </c>
      <c r="K19" s="5054" t="s"/>
      <c r="L19" s="5055" t="s"/>
      <c r="M19" s="129" t="s">
        <v>459</v>
      </c>
      <c r="N19" s="5056" t="s"/>
    </row>
    <row customHeight="true" hidden="false" ht="15.75" outlineLevel="0" r="20">
      <c r="A20" s="17" t="n">
        <v>1</v>
      </c>
      <c r="B20" s="32" t="s">
        <v>460</v>
      </c>
      <c r="C20" s="5057" t="s"/>
      <c r="D20" s="225" t="n">
        <v>279000</v>
      </c>
      <c r="E20" s="5058" t="s"/>
      <c r="F20" s="5059" t="s"/>
      <c r="G20" s="4811" t="n">
        <v>0.0461</v>
      </c>
      <c r="H20" s="99" t="n">
        <f aca="false" ca="false" dt2D="false" dtr="false" t="normal">12*20*4</f>
        <v>960</v>
      </c>
      <c r="I20" s="5068" t="s"/>
      <c r="J20" s="95" t="n">
        <v>4</v>
      </c>
      <c r="K20" s="5069" t="s"/>
      <c r="L20" s="5070" t="s"/>
      <c r="M20" s="106" t="n">
        <f aca="false" ca="false" dt2D="false" dtr="false" t="normal">SUM(D20*G20)/H20*J20</f>
        <v>53.59125000000001</v>
      </c>
      <c r="N20" s="5072" t="s"/>
    </row>
    <row customHeight="true" hidden="false" ht="15.75" outlineLevel="0" r="21">
      <c r="A21" s="124" t="n"/>
      <c r="B21" s="32" t="s">
        <v>183</v>
      </c>
      <c r="C21" s="5073" t="s"/>
      <c r="D21" s="95" t="n"/>
      <c r="E21" s="5075" t="s"/>
      <c r="F21" s="5076" t="s"/>
      <c r="G21" s="3204" t="n"/>
      <c r="H21" s="3668" t="n"/>
      <c r="I21" s="5078" t="s"/>
      <c r="J21" s="95" t="n"/>
      <c r="K21" s="5079" t="s"/>
      <c r="L21" s="5080" t="s"/>
      <c r="M21" s="136" t="n">
        <f aca="false" ca="false" dt2D="false" dtr="false" t="normal">SUM(M20:N20)</f>
        <v>53.59125000000001</v>
      </c>
      <c r="N21" s="5082" t="s"/>
    </row>
    <row hidden="false" ht="12.75" outlineLevel="0" r="22">
      <c r="A22" s="93" t="n"/>
      <c r="B22" s="3348" t="n"/>
      <c r="C22" s="3348" t="n"/>
      <c r="D22" s="3348" t="n"/>
      <c r="E22" s="3348" t="n"/>
      <c r="F22" s="3348" t="n"/>
      <c r="G22" s="3348" t="n"/>
      <c r="H22" s="3348" t="n"/>
      <c r="I22" s="3348" t="n"/>
      <c r="J22" s="3348" t="n"/>
      <c r="K22" s="3348" t="n"/>
      <c r="L22" s="3684" t="n"/>
      <c r="M22" s="3684" t="n"/>
      <c r="N22" s="3684" t="n"/>
    </row>
    <row hidden="false" ht="12.75" outlineLevel="0" r="23">
      <c r="A23" s="3576" t="n"/>
      <c r="L23" s="93" t="n"/>
      <c r="M23" s="93" t="n"/>
      <c r="N23" s="93" t="n"/>
    </row>
    <row customHeight="true" hidden="false" ht="15.75" outlineLevel="0" r="24">
      <c r="A24" s="403" t="s">
        <v>462</v>
      </c>
      <c r="B24" s="403" t="s"/>
      <c r="C24" s="403" t="s"/>
      <c r="D24" s="403" t="s"/>
      <c r="E24" s="403" t="s"/>
      <c r="F24" s="403" t="s"/>
      <c r="G24" s="403" t="s"/>
      <c r="H24" s="403" t="s"/>
      <c r="I24" s="403" t="s"/>
      <c r="J24" s="403" t="s"/>
      <c r="K24" s="403" t="s"/>
      <c r="L24" s="93" t="n"/>
      <c r="M24" s="93" t="n"/>
      <c r="N24" s="93" t="n"/>
    </row>
    <row customHeight="true" hidden="false" ht="31.5" outlineLevel="0" r="25">
      <c r="A25" s="169" t="s">
        <v>239</v>
      </c>
      <c r="B25" s="169" t="s">
        <v>240</v>
      </c>
      <c r="C25" s="5092" t="s"/>
      <c r="D25" s="5094" t="s"/>
      <c r="E25" s="5095" t="s"/>
      <c r="F25" s="5096" t="s"/>
      <c r="G25" s="5097" t="s"/>
      <c r="H25" s="5098" t="s"/>
      <c r="I25" s="5099" t="s"/>
      <c r="J25" s="5100" t="s"/>
      <c r="K25" s="417" t="s">
        <v>241</v>
      </c>
      <c r="L25" s="93" t="n"/>
      <c r="M25" s="93" t="n"/>
      <c r="N25" s="93" t="n"/>
    </row>
    <row customHeight="true" hidden="false" ht="15.75" outlineLevel="0" r="26">
      <c r="A26" s="67" t="n">
        <v>1</v>
      </c>
      <c r="B26" s="177" t="s">
        <v>242</v>
      </c>
      <c r="C26" s="5103" t="s"/>
      <c r="D26" s="5104" t="s"/>
      <c r="E26" s="5105" t="s"/>
      <c r="F26" s="5106" t="s"/>
      <c r="G26" s="5107" t="s"/>
      <c r="H26" s="5108" t="s"/>
      <c r="I26" s="5109" t="s"/>
      <c r="J26" s="5110" t="s"/>
      <c r="K26" s="434" t="n">
        <f aca="false" ca="false" dt2D="false" dtr="false" t="normal">SUM(L10)</f>
        <v>4080.3496363636364</v>
      </c>
      <c r="L26" s="93" t="n"/>
      <c r="M26" s="93" t="n"/>
      <c r="N26" s="93" t="n"/>
    </row>
    <row customHeight="true" hidden="false" ht="15.75" outlineLevel="0" r="27">
      <c r="A27" s="67" t="n">
        <v>2</v>
      </c>
      <c r="B27" s="189" t="s">
        <v>243</v>
      </c>
      <c r="C27" s="5111" t="s"/>
      <c r="D27" s="5113" t="s"/>
      <c r="E27" s="5114" t="s"/>
      <c r="F27" s="5115" t="s"/>
      <c r="G27" s="5116" t="s"/>
      <c r="H27" s="5117" t="s"/>
      <c r="I27" s="5119" t="s"/>
      <c r="J27" s="5121" t="s"/>
      <c r="K27" s="434" t="n">
        <f aca="false" ca="false" dt2D="false" dtr="false" t="normal">SUM(L16)</f>
        <v>8601.599999999999</v>
      </c>
      <c r="L27" s="93" t="n"/>
      <c r="M27" s="93" t="n"/>
      <c r="N27" s="93" t="n"/>
    </row>
    <row customHeight="true" hidden="false" ht="33" outlineLevel="0" r="28">
      <c r="A28" s="67" t="n">
        <v>3</v>
      </c>
      <c r="B28" s="177" t="s">
        <v>244</v>
      </c>
      <c r="C28" s="5127" t="s"/>
      <c r="D28" s="5128" t="s"/>
      <c r="E28" s="5129" t="s"/>
      <c r="F28" s="5130" t="s"/>
      <c r="G28" s="5132" t="s"/>
      <c r="H28" s="5133" t="s"/>
      <c r="I28" s="5134" t="s"/>
      <c r="J28" s="5136" t="s"/>
      <c r="K28" s="434" t="n">
        <f aca="false" ca="false" dt2D="false" dtr="false" t="normal">SUM(M21)</f>
        <v>53.59125000000001</v>
      </c>
      <c r="L28" s="93" t="n"/>
      <c r="M28" s="93" t="n"/>
      <c r="N28" s="93" t="n"/>
    </row>
    <row customHeight="true" hidden="false" ht="18.75" outlineLevel="0" r="29">
      <c r="A29" s="67" t="n">
        <v>4</v>
      </c>
      <c r="B29" s="177" t="s">
        <v>219</v>
      </c>
      <c r="C29" s="5141" t="s"/>
      <c r="D29" s="5142" t="s"/>
      <c r="E29" s="5143" t="s"/>
      <c r="F29" s="5144" t="s"/>
      <c r="G29" s="5145" t="s"/>
      <c r="H29" s="5146" t="s"/>
      <c r="I29" s="5147" t="s"/>
      <c r="J29" s="5148" t="s"/>
      <c r="K29" s="434" t="n">
        <f aca="false" ca="false" dt2D="false" dtr="false" t="normal">SUM(K26:K28)*0.25</f>
        <v>3183.8852215909087</v>
      </c>
      <c r="L29" s="93" t="n"/>
      <c r="M29" s="93" t="n"/>
      <c r="N29" s="93" t="n"/>
    </row>
    <row customHeight="true" hidden="false" ht="15.75" outlineLevel="0" r="30">
      <c r="A30" s="67" t="n">
        <v>5</v>
      </c>
      <c r="B30" s="189" t="s">
        <v>247</v>
      </c>
      <c r="C30" s="5154" t="s"/>
      <c r="D30" s="5155" t="s"/>
      <c r="E30" s="5156" t="s"/>
      <c r="F30" s="5157" t="s"/>
      <c r="G30" s="5159" t="s"/>
      <c r="H30" s="5160" t="s"/>
      <c r="I30" s="5161" t="s"/>
      <c r="J30" s="5162" t="s"/>
      <c r="K30" s="434" t="n">
        <f aca="false" ca="false" dt2D="false" dtr="false" t="normal">SUM(K26:K29)</f>
        <v>15919.426107954543</v>
      </c>
      <c r="L30" s="93" t="n"/>
      <c r="M30" s="93" t="n"/>
      <c r="N30" s="93" t="n"/>
    </row>
    <row customHeight="true" hidden="false" ht="15.75" outlineLevel="0" r="31">
      <c r="A31" s="3672" t="n">
        <v>6</v>
      </c>
      <c r="B31" s="3673" t="s">
        <v>208</v>
      </c>
      <c r="C31" s="5167" t="s"/>
      <c r="D31" s="5168" t="s"/>
      <c r="E31" s="5169" t="s"/>
      <c r="F31" s="5171" t="s"/>
      <c r="G31" s="5172" t="s"/>
      <c r="H31" s="5173" t="s"/>
      <c r="I31" s="5175" t="s"/>
      <c r="J31" s="5177" t="s"/>
      <c r="K31" s="3683" t="n">
        <f aca="false" ca="false" dt2D="false" dtr="false" t="normal">SUM(K30*0.22)</f>
        <v>3502.2737437499995</v>
      </c>
      <c r="L31" s="93" t="n"/>
      <c r="M31" s="93" t="n"/>
      <c r="N31" s="93" t="n"/>
    </row>
    <row customHeight="true" hidden="false" ht="15.75" outlineLevel="0" r="32">
      <c r="A32" s="67" t="n"/>
      <c r="B32" s="177" t="s">
        <v>400</v>
      </c>
      <c r="C32" s="5183" t="s"/>
      <c r="D32" s="5184" t="s"/>
      <c r="E32" s="5185" t="s"/>
      <c r="F32" s="5186" t="s"/>
      <c r="G32" s="5187" t="s"/>
      <c r="H32" s="5188" t="s"/>
      <c r="I32" s="5189" t="s"/>
      <c r="J32" s="5190" t="s"/>
      <c r="K32" s="512" t="n">
        <f aca="false" ca="false" dt2D="false" dtr="false" t="normal">SUM(K30+K31)-22</f>
        <v>19399.699851704543</v>
      </c>
      <c r="L32" s="93" t="n"/>
      <c r="M32" s="93" t="n"/>
      <c r="N32" s="93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69">
    <mergeCell ref="A6:N6"/>
    <mergeCell ref="B8:C8"/>
    <mergeCell ref="D8:F8"/>
    <mergeCell ref="I8:K8"/>
    <mergeCell ref="G8:H8"/>
    <mergeCell ref="B9:C9"/>
    <mergeCell ref="D9:F9"/>
    <mergeCell ref="B10:C10"/>
    <mergeCell ref="D10:F10"/>
    <mergeCell ref="G9:H9"/>
    <mergeCell ref="I9:K9"/>
    <mergeCell ref="G10:H10"/>
    <mergeCell ref="I10:K10"/>
    <mergeCell ref="L8:N8"/>
    <mergeCell ref="L9:N9"/>
    <mergeCell ref="L12:N12"/>
    <mergeCell ref="L10:N10"/>
    <mergeCell ref="L11:N11"/>
    <mergeCell ref="L13:N13"/>
    <mergeCell ref="L14:N14"/>
    <mergeCell ref="L15:N15"/>
    <mergeCell ref="L16:N16"/>
    <mergeCell ref="M19:N19"/>
    <mergeCell ref="M20:N20"/>
    <mergeCell ref="M21:N21"/>
    <mergeCell ref="B11:C11"/>
    <mergeCell ref="D11:F11"/>
    <mergeCell ref="B12:F12"/>
    <mergeCell ref="B13:C13"/>
    <mergeCell ref="D13:F13"/>
    <mergeCell ref="G11:H11"/>
    <mergeCell ref="G12:H12"/>
    <mergeCell ref="I11:K11"/>
    <mergeCell ref="I12:K12"/>
    <mergeCell ref="G13:H13"/>
    <mergeCell ref="I13:K13"/>
    <mergeCell ref="B14:C14"/>
    <mergeCell ref="B15:C15"/>
    <mergeCell ref="D14:F14"/>
    <mergeCell ref="D15:F15"/>
    <mergeCell ref="B16:C16"/>
    <mergeCell ref="D16:F16"/>
    <mergeCell ref="G14:H14"/>
    <mergeCell ref="G15:H15"/>
    <mergeCell ref="G16:H16"/>
    <mergeCell ref="I14:K14"/>
    <mergeCell ref="I15:K15"/>
    <mergeCell ref="I16:K16"/>
    <mergeCell ref="J19:L19"/>
    <mergeCell ref="J20:L20"/>
    <mergeCell ref="H19:I19"/>
    <mergeCell ref="D19:F19"/>
    <mergeCell ref="B19:C19"/>
    <mergeCell ref="B20:C20"/>
    <mergeCell ref="D20:F20"/>
    <mergeCell ref="H20:I20"/>
    <mergeCell ref="J21:L21"/>
    <mergeCell ref="B21:C21"/>
    <mergeCell ref="H21:I21"/>
    <mergeCell ref="D21:F21"/>
    <mergeCell ref="B28:J28"/>
    <mergeCell ref="B27:J27"/>
    <mergeCell ref="B26:J26"/>
    <mergeCell ref="B25:J25"/>
    <mergeCell ref="A24:K24"/>
    <mergeCell ref="B29:J29"/>
    <mergeCell ref="B30:J30"/>
    <mergeCell ref="B31:J31"/>
    <mergeCell ref="B32:J32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xl/worksheets/sheet3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N20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" min="1" outlineLevel="0" style="398" width="7.0437746253096"/>
    <col customWidth="true" hidden="false" max="3" min="3" outlineLevel="0" style="398" width="16.9090043267634"/>
    <col customWidth="true" hidden="false" max="11" min="11" outlineLevel="0" style="398" width="11.4042068584368"/>
    <col customWidth="true" hidden="false" max="14" min="14" outlineLevel="0" style="398" width="7.59622739115129"/>
  </cols>
  <sheetData>
    <row hidden="false" ht="15.75" outlineLevel="0" r="1">
      <c r="A1" s="93" t="n"/>
      <c r="B1" s="1524" t="n"/>
      <c r="C1" s="1524" t="n"/>
      <c r="D1" s="1524" t="n"/>
      <c r="E1" s="1524" t="n"/>
      <c r="F1" s="1524" t="n"/>
      <c r="G1" s="93" t="n"/>
      <c r="H1" s="1524" t="n"/>
      <c r="J1" s="101" t="s">
        <v>175</v>
      </c>
      <c r="K1" s="1524" t="n"/>
      <c r="L1" s="1524" t="n"/>
      <c r="M1" s="1524" t="n"/>
      <c r="N1" s="1524" t="n"/>
    </row>
    <row hidden="false" ht="15.75" outlineLevel="0" r="2">
      <c r="A2" s="93" t="n"/>
      <c r="B2" s="1524" t="n"/>
      <c r="C2" s="1524" t="n"/>
      <c r="D2" s="1524" t="n"/>
      <c r="E2" s="1524" t="n"/>
      <c r="F2" s="1524" t="n"/>
      <c r="G2" s="93" t="n"/>
      <c r="H2" s="1524" t="n"/>
      <c r="J2" s="105" t="s">
        <v>176</v>
      </c>
      <c r="K2" s="1524" t="n"/>
      <c r="L2" s="1524" t="n"/>
      <c r="M2" s="1524" t="n"/>
      <c r="N2" s="1524" t="n"/>
    </row>
    <row hidden="false" ht="15.75" outlineLevel="0" r="3">
      <c r="A3" s="93" t="n"/>
      <c r="B3" s="1524" t="n"/>
      <c r="C3" s="1524" t="n"/>
      <c r="D3" s="1524" t="n"/>
      <c r="E3" s="1524" t="n"/>
      <c r="F3" s="1524" t="n"/>
      <c r="G3" s="93" t="n"/>
      <c r="H3" s="1524" t="n"/>
      <c r="J3" s="101" t="s">
        <v>226</v>
      </c>
      <c r="K3" s="1524" t="n"/>
      <c r="L3" s="1524" t="n"/>
      <c r="M3" s="1524" t="n"/>
      <c r="N3" s="1524" t="n"/>
    </row>
    <row hidden="false" ht="15.75" outlineLevel="0" r="4">
      <c r="A4" s="93" t="n"/>
      <c r="B4" s="1524" t="n"/>
      <c r="C4" s="1524" t="n"/>
      <c r="D4" s="1524" t="n"/>
      <c r="E4" s="1524" t="n"/>
      <c r="F4" s="1524" t="n"/>
      <c r="G4" s="93" t="n"/>
      <c r="H4" s="1524" t="n"/>
      <c r="J4" s="105" t="s">
        <v>178</v>
      </c>
      <c r="K4" s="1524" t="n"/>
      <c r="L4" s="1524" t="n"/>
      <c r="M4" s="1524" t="n"/>
      <c r="N4" s="1524" t="n"/>
    </row>
    <row hidden="false" ht="15.75" outlineLevel="0" r="5">
      <c r="A5" s="93" t="n"/>
      <c r="B5" s="1524" t="n"/>
      <c r="C5" s="1524" t="n"/>
      <c r="D5" s="1524" t="n"/>
      <c r="E5" s="1524" t="n"/>
      <c r="F5" s="1524" t="n"/>
      <c r="G5" s="105" t="n"/>
      <c r="H5" s="1524" t="n"/>
      <c r="I5" s="1524" t="n"/>
      <c r="J5" s="1524" t="n"/>
      <c r="K5" s="1524" t="n"/>
      <c r="L5" s="1524" t="n"/>
      <c r="M5" s="1524" t="n"/>
      <c r="N5" s="1524" t="n"/>
    </row>
    <row customHeight="true" hidden="false" ht="15.75" outlineLevel="0" r="6">
      <c r="A6" s="3306" t="s">
        <v>466</v>
      </c>
      <c r="B6" s="3306" t="s"/>
      <c r="C6" s="3306" t="s"/>
      <c r="D6" s="3306" t="s"/>
      <c r="E6" s="3306" t="s"/>
      <c r="F6" s="3306" t="s"/>
      <c r="G6" s="3306" t="s"/>
      <c r="H6" s="3306" t="s"/>
      <c r="I6" s="3306" t="s"/>
      <c r="J6" s="3306" t="s"/>
      <c r="K6" s="3306" t="s"/>
      <c r="L6" s="3306" t="s"/>
      <c r="M6" s="3306" t="s"/>
      <c r="N6" s="3306" t="s"/>
    </row>
    <row hidden="false" ht="15.75" outlineLevel="0" r="7">
      <c r="A7" s="4" t="n"/>
      <c r="B7" s="101" t="s">
        <v>232</v>
      </c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</row>
    <row customHeight="true" hidden="false" ht="70.5" outlineLevel="0" r="8">
      <c r="A8" s="17" t="n"/>
      <c r="B8" s="129" t="s">
        <v>184</v>
      </c>
      <c r="C8" s="5201" t="s"/>
      <c r="D8" s="129" t="s">
        <v>411</v>
      </c>
      <c r="E8" s="5205" t="s"/>
      <c r="F8" s="5207" t="s"/>
      <c r="G8" s="129" t="s">
        <v>186</v>
      </c>
      <c r="H8" s="5210" t="s"/>
      <c r="I8" s="129" t="s">
        <v>187</v>
      </c>
      <c r="J8" s="5211" t="s"/>
      <c r="K8" s="5212" t="s"/>
      <c r="L8" s="129" t="s">
        <v>347</v>
      </c>
      <c r="M8" s="5213" t="s"/>
      <c r="N8" s="5214" t="s"/>
    </row>
    <row customHeight="true" hidden="false" ht="15.75" outlineLevel="0" r="9">
      <c r="A9" s="17" t="n">
        <v>1</v>
      </c>
      <c r="B9" s="32" t="s">
        <v>276</v>
      </c>
      <c r="C9" s="5215" t="s"/>
      <c r="D9" s="225" t="n">
        <f aca="false" ca="false" dt2D="false" dtr="false" t="normal">67733*1.302</f>
        <v>88188.36600000001</v>
      </c>
      <c r="E9" s="5216" t="s"/>
      <c r="F9" s="5217" t="s"/>
      <c r="G9" s="225" t="n">
        <f aca="false" ca="false" dt2D="false" dtr="false" t="normal">SUM(22*8)*60</f>
        <v>10560</v>
      </c>
      <c r="H9" s="5221" t="s"/>
      <c r="I9" s="225" t="n">
        <f aca="false" ca="false" dt2D="false" dtr="false" t="normal">SUM(60*8*1.2)</f>
        <v>576</v>
      </c>
      <c r="J9" s="5227" t="s"/>
      <c r="K9" s="5228" t="s"/>
      <c r="L9" s="225" t="n">
        <f aca="false" ca="false" dt2D="false" dtr="false" t="normal">D9/G9*I9</f>
        <v>4810.274509090909</v>
      </c>
      <c r="M9" s="5229" t="s"/>
      <c r="N9" s="5230" t="s"/>
    </row>
    <row customHeight="true" hidden="false" ht="15.75" outlineLevel="0" r="10">
      <c r="A10" s="124" t="n"/>
      <c r="B10" s="32" t="s">
        <v>183</v>
      </c>
      <c r="C10" s="5231" t="s"/>
      <c r="D10" s="225" t="n">
        <f aca="false" ca="false" dt2D="false" dtr="false" t="normal">SUM(D9:F9)</f>
        <v>88188.36600000001</v>
      </c>
      <c r="E10" s="5238" t="s"/>
      <c r="F10" s="5240" t="s"/>
      <c r="G10" s="225" t="n">
        <v>155921.366</v>
      </c>
      <c r="H10" s="5242" t="s"/>
      <c r="I10" s="225" t="n">
        <f aca="false" ca="false" dt2D="false" dtr="false" t="normal">SUM(I9:K9)</f>
        <v>576</v>
      </c>
      <c r="J10" s="5243" t="s"/>
      <c r="K10" s="5244" t="s"/>
      <c r="L10" s="225" t="n">
        <f aca="false" ca="false" dt2D="false" dtr="false" t="normal">SUM(L9:N9)</f>
        <v>4810.274509090909</v>
      </c>
      <c r="M10" s="5245" t="s"/>
      <c r="N10" s="5247" t="s"/>
    </row>
    <row customHeight="true" hidden="false" ht="15.75" outlineLevel="0" r="11">
      <c r="A11" s="4" t="n"/>
      <c r="B11" s="188" t="n"/>
      <c r="C11" s="188" t="s"/>
      <c r="D11" s="119" t="n"/>
      <c r="E11" s="119" t="s"/>
      <c r="F11" s="119" t="s"/>
      <c r="G11" s="119" t="n"/>
      <c r="H11" s="119" t="s"/>
      <c r="I11" s="119" t="n"/>
      <c r="J11" s="119" t="s"/>
      <c r="K11" s="119" t="s"/>
      <c r="L11" s="119" t="n"/>
      <c r="M11" s="119" t="s"/>
      <c r="N11" s="119" t="s"/>
    </row>
    <row hidden="false" ht="12.75" outlineLevel="0" r="12">
      <c r="A12" s="93" t="n"/>
      <c r="B12" s="3348" t="n"/>
      <c r="C12" s="3348" t="n"/>
      <c r="D12" s="3348" t="n"/>
      <c r="E12" s="3348" t="n"/>
      <c r="F12" s="3348" t="n"/>
      <c r="G12" s="3348" t="n"/>
      <c r="H12" s="3348" t="n"/>
      <c r="I12" s="3348" t="n"/>
      <c r="J12" s="3348" t="n"/>
      <c r="K12" s="3348" t="n"/>
      <c r="L12" s="3684" t="n"/>
      <c r="M12" s="3684" t="n"/>
      <c r="N12" s="3684" t="n"/>
    </row>
    <row hidden="false" ht="12.75" outlineLevel="0" r="13">
      <c r="A13" s="3576" t="n"/>
      <c r="L13" s="93" t="n"/>
      <c r="M13" s="93" t="n"/>
      <c r="N13" s="93" t="n"/>
    </row>
    <row customHeight="true" hidden="false" ht="15.75" outlineLevel="0" r="14">
      <c r="A14" s="403" t="s">
        <v>465</v>
      </c>
      <c r="B14" s="403" t="s"/>
      <c r="C14" s="403" t="s"/>
      <c r="D14" s="403" t="s"/>
      <c r="E14" s="403" t="s"/>
      <c r="F14" s="403" t="s"/>
      <c r="G14" s="403" t="s"/>
      <c r="H14" s="403" t="s"/>
      <c r="I14" s="403" t="s"/>
      <c r="J14" s="403" t="s"/>
      <c r="K14" s="403" t="s"/>
      <c r="L14" s="93" t="n"/>
      <c r="M14" s="93" t="n"/>
      <c r="N14" s="93" t="n"/>
    </row>
    <row customHeight="true" hidden="false" ht="31.5" outlineLevel="0" r="15">
      <c r="A15" s="169" t="s">
        <v>239</v>
      </c>
      <c r="B15" s="169" t="s">
        <v>240</v>
      </c>
      <c r="C15" s="5191" t="s"/>
      <c r="D15" s="5192" t="s"/>
      <c r="E15" s="5193" t="s"/>
      <c r="F15" s="5194" t="s"/>
      <c r="G15" s="5195" t="s"/>
      <c r="H15" s="5196" t="s"/>
      <c r="I15" s="5197" t="s"/>
      <c r="J15" s="5198" t="s"/>
      <c r="K15" s="417" t="s">
        <v>241</v>
      </c>
      <c r="L15" s="93" t="n"/>
      <c r="M15" s="93" t="n"/>
      <c r="N15" s="93" t="n"/>
    </row>
    <row customHeight="true" hidden="false" ht="15.75" outlineLevel="0" r="16">
      <c r="A16" s="67" t="n">
        <v>1</v>
      </c>
      <c r="B16" s="177" t="s">
        <v>242</v>
      </c>
      <c r="C16" s="5199" t="s"/>
      <c r="D16" s="5200" t="s"/>
      <c r="E16" s="5202" t="s"/>
      <c r="F16" s="5203" t="s"/>
      <c r="G16" s="5204" t="s"/>
      <c r="H16" s="5206" t="s"/>
      <c r="I16" s="5208" t="s"/>
      <c r="J16" s="5209" t="s"/>
      <c r="K16" s="434" t="n">
        <f aca="false" ca="false" dt2D="false" dtr="false" t="normal">SUM(L10)</f>
        <v>4810.274509090909</v>
      </c>
      <c r="L16" s="93" t="n"/>
      <c r="M16" s="93" t="n"/>
      <c r="N16" s="93" t="n"/>
    </row>
    <row customHeight="true" hidden="false" ht="15.75" outlineLevel="0" r="17">
      <c r="A17" s="67" t="n">
        <v>2</v>
      </c>
      <c r="B17" s="177" t="s">
        <v>219</v>
      </c>
      <c r="C17" s="5218" t="s"/>
      <c r="D17" s="5219" t="s"/>
      <c r="E17" s="5220" t="s"/>
      <c r="F17" s="5222" t="s"/>
      <c r="G17" s="5223" t="s"/>
      <c r="H17" s="5224" t="s"/>
      <c r="I17" s="5225" t="s"/>
      <c r="J17" s="5226" t="s"/>
      <c r="K17" s="434" t="n">
        <f aca="false" ca="false" dt2D="false" dtr="false" t="normal">SUM(K16)*0.1</f>
        <v>481.02745090909093</v>
      </c>
      <c r="L17" s="93" t="n"/>
      <c r="M17" s="93" t="n"/>
      <c r="N17" s="93" t="n"/>
    </row>
    <row customHeight="true" hidden="false" ht="15.75" outlineLevel="0" r="18">
      <c r="A18" s="67" t="n">
        <v>3</v>
      </c>
      <c r="B18" s="189" t="s">
        <v>247</v>
      </c>
      <c r="C18" s="5232" t="s"/>
      <c r="D18" s="5233" t="s"/>
      <c r="E18" s="5234" t="s"/>
      <c r="F18" s="5235" t="s"/>
      <c r="G18" s="5236" t="s"/>
      <c r="H18" s="5237" t="s"/>
      <c r="I18" s="5239" t="s"/>
      <c r="J18" s="5241" t="s"/>
      <c r="K18" s="434" t="n">
        <f aca="false" ca="false" dt2D="false" dtr="false" t="normal">SUM(K16:K17)</f>
        <v>5291.301960000001</v>
      </c>
      <c r="L18" s="93" t="n"/>
      <c r="M18" s="93" t="n"/>
      <c r="N18" s="93" t="n"/>
    </row>
    <row customHeight="true" hidden="false" ht="15.75" outlineLevel="0" r="19">
      <c r="A19" s="3672" t="n">
        <v>4</v>
      </c>
      <c r="B19" s="3673" t="s">
        <v>208</v>
      </c>
      <c r="C19" s="5246" t="s"/>
      <c r="D19" s="5248" t="s"/>
      <c r="E19" s="5249" t="s"/>
      <c r="F19" s="5250" t="s"/>
      <c r="G19" s="5251" t="s"/>
      <c r="H19" s="5252" t="s"/>
      <c r="I19" s="5253" t="s"/>
      <c r="J19" s="5254" t="s"/>
      <c r="K19" s="3683" t="n">
        <f aca="false" ca="false" dt2D="false" dtr="false" t="normal">SUM(K18*0.22)</f>
        <v>1164.0864312</v>
      </c>
      <c r="L19" s="93" t="n"/>
      <c r="M19" s="93" t="n"/>
      <c r="N19" s="93" t="n"/>
    </row>
    <row customHeight="true" hidden="false" ht="15.75" outlineLevel="0" r="20">
      <c r="A20" s="67" t="n"/>
      <c r="B20" s="177" t="s">
        <v>467</v>
      </c>
      <c r="C20" s="5255" t="s"/>
      <c r="D20" s="5256" t="s"/>
      <c r="E20" s="5257" t="s"/>
      <c r="F20" s="5258" t="s"/>
      <c r="G20" s="5259" t="s"/>
      <c r="H20" s="5260" t="s"/>
      <c r="I20" s="5261" t="s"/>
      <c r="J20" s="5262" t="s"/>
      <c r="K20" s="512" t="n">
        <f aca="false" ca="false" dt2D="false" dtr="false" t="normal">SUM(K18+K19)-55</f>
        <v>6400.388391200001</v>
      </c>
      <c r="L20" s="93" t="n"/>
      <c r="M20" s="93" t="n"/>
      <c r="N20" s="93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28">
    <mergeCell ref="A6:N6"/>
    <mergeCell ref="B8:C8"/>
    <mergeCell ref="D8:F8"/>
    <mergeCell ref="I8:K8"/>
    <mergeCell ref="G8:H8"/>
    <mergeCell ref="L8:N8"/>
    <mergeCell ref="L9:N9"/>
    <mergeCell ref="L10:N10"/>
    <mergeCell ref="L11:N11"/>
    <mergeCell ref="I9:K9"/>
    <mergeCell ref="I10:K10"/>
    <mergeCell ref="G9:H9"/>
    <mergeCell ref="I11:K11"/>
    <mergeCell ref="G10:H10"/>
    <mergeCell ref="D9:F9"/>
    <mergeCell ref="B9:C9"/>
    <mergeCell ref="D10:F10"/>
    <mergeCell ref="B10:C10"/>
    <mergeCell ref="B20:J20"/>
    <mergeCell ref="D11:F11"/>
    <mergeCell ref="B11:C11"/>
    <mergeCell ref="G11:H11"/>
    <mergeCell ref="B19:J19"/>
    <mergeCell ref="B18:J18"/>
    <mergeCell ref="B17:J17"/>
    <mergeCell ref="B16:J16"/>
    <mergeCell ref="B15:J15"/>
    <mergeCell ref="A14:K14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W90"/>
  <sheetViews>
    <sheetView showZeros="true" workbookViewId="0"/>
  </sheetViews>
  <sheetFormatPr baseColWidth="8" customHeight="false" defaultColWidth="9.01358353688254" defaultRowHeight="12.75" zeroHeight="false"/>
  <cols>
    <col customWidth="true" hidden="false" max="1" min="1" outlineLevel="0" style="93" width="3.51202187927726"/>
    <col customWidth="true" hidden="false" max="2" min="2" outlineLevel="0" style="93" width="12.962912175516"/>
    <col customWidth="true" hidden="false" max="3" min="3" outlineLevel="0" style="93" width="24.3671190339528"/>
    <col customWidth="true" hidden="false" max="4" min="4" outlineLevel="0" style="93" width="13.1010262128073"/>
    <col customWidth="true" hidden="false" max="5" min="5" outlineLevel="0" style="93" width="7.88231920744967"/>
    <col customWidth="true" hidden="false" max="6" min="6" outlineLevel="0" style="93" width="2.80172539355243"/>
    <col customWidth="true" hidden="false" max="7" min="7" outlineLevel="0" style="93" width="10.1414570993718"/>
    <col customWidth="true" hidden="false" max="8" min="8" outlineLevel="0" style="93" width="9.569273466775"/>
    <col customWidth="true" hidden="false" max="9" min="9" outlineLevel="0" style="93" width="8.86884224526153"/>
    <col customWidth="true" hidden="false" max="10" min="10" outlineLevel="0" style="93" width="2.38738581917116"/>
    <col customWidth="true" hidden="false" max="11" min="11" outlineLevel="0" style="93" width="13.5153656180224"/>
    <col customWidth="true" hidden="false" max="12" min="12" outlineLevel="0" style="93" width="6.32361253704105"/>
    <col customWidth="true" hidden="false" max="13" min="13" outlineLevel="0" style="93" width="11.9763891377041"/>
    <col bestFit="true" customWidth="true" hidden="false" max="14" min="14" outlineLevel="0" style="93" width="9.01682070093331"/>
    <col customWidth="true" hidden="false" max="15" min="15" outlineLevel="0" style="93" width="4.63665827771572"/>
    <col customWidth="true" hidden="false" max="16" min="16" outlineLevel="0" style="93" width="5.33708949922919"/>
    <col customWidth="true" hidden="false" max="17" min="17" outlineLevel="0" style="93" width="4.63665827771572"/>
    <col bestFit="true" customWidth="true" hidden="false" max="257" min="18" outlineLevel="0" style="93" width="9.01682070093331"/>
  </cols>
  <sheetData>
    <row hidden="false" ht="15.75" outlineLevel="0" r="1">
      <c r="K1" s="4" t="n"/>
      <c r="L1" s="4" t="n"/>
      <c r="M1" s="4" t="n"/>
      <c r="N1" s="4" t="n"/>
      <c r="O1" s="4" t="n"/>
      <c r="P1" s="4" t="n"/>
      <c r="Q1" s="4" t="n"/>
    </row>
    <row hidden="false" ht="15.75" outlineLevel="0" r="2">
      <c r="K2" s="101" t="s">
        <v>175</v>
      </c>
      <c r="L2" s="101" t="n"/>
      <c r="M2" s="4" t="n"/>
      <c r="N2" s="104" t="n"/>
      <c r="O2" s="104" t="n"/>
      <c r="P2" s="104" t="n"/>
      <c r="Q2" s="104" t="n"/>
    </row>
    <row hidden="false" ht="15.75" outlineLevel="0" r="3">
      <c r="K3" s="105" t="s">
        <v>176</v>
      </c>
      <c r="L3" s="4" t="n"/>
      <c r="M3" s="4" t="n"/>
      <c r="N3" s="4" t="n"/>
      <c r="O3" s="4" t="n"/>
      <c r="P3" s="4" t="n"/>
      <c r="Q3" s="4" t="n"/>
    </row>
    <row hidden="false" ht="15.75" outlineLevel="0" r="4">
      <c r="K4" s="101" t="s">
        <v>226</v>
      </c>
      <c r="L4" s="101" t="s"/>
      <c r="M4" s="101" t="s"/>
      <c r="N4" s="101" t="s"/>
      <c r="O4" s="101" t="s"/>
      <c r="P4" s="101" t="s"/>
      <c r="Q4" s="101" t="s"/>
    </row>
    <row hidden="false" ht="15.75" outlineLevel="0" r="5">
      <c r="K5" s="105" t="s">
        <v>178</v>
      </c>
      <c r="L5" s="105" t="n"/>
      <c r="M5" s="4" t="n"/>
      <c r="N5" s="4" t="n"/>
      <c r="O5" s="4" t="n"/>
      <c r="P5" s="4" t="n"/>
      <c r="Q5" s="4" t="n"/>
    </row>
    <row customHeight="true" hidden="false" ht="51.75" outlineLevel="0" r="7">
      <c r="B7" s="403" t="s">
        <v>249</v>
      </c>
      <c r="C7" s="403" t="s"/>
      <c r="D7" s="403" t="s"/>
      <c r="E7" s="403" t="s"/>
      <c r="F7" s="403" t="s"/>
      <c r="G7" s="403" t="s"/>
      <c r="H7" s="403" t="s"/>
      <c r="I7" s="403" t="s"/>
      <c r="J7" s="403" t="s"/>
      <c r="K7" s="403" t="s"/>
      <c r="L7" s="403" t="s"/>
      <c r="M7" s="403" t="s"/>
      <c r="N7" s="403" t="s"/>
    </row>
    <row customHeight="true" hidden="false" ht="12.75" outlineLevel="0" r="8">
      <c r="A8" s="4" t="n"/>
      <c r="B8" s="101" t="s">
        <v>232</v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</row>
    <row customHeight="true" hidden="false" ht="121.5" outlineLevel="0" r="9">
      <c r="A9" s="17" t="n"/>
      <c r="B9" s="129" t="s">
        <v>184</v>
      </c>
      <c r="C9" s="576" t="s"/>
      <c r="D9" s="129" t="s">
        <v>233</v>
      </c>
      <c r="E9" s="577" t="s"/>
      <c r="F9" s="578" t="s"/>
      <c r="G9" s="129" t="s">
        <v>186</v>
      </c>
      <c r="H9" s="579" t="s"/>
      <c r="I9" s="129" t="s">
        <v>187</v>
      </c>
      <c r="J9" s="580" t="s"/>
      <c r="K9" s="581" t="s"/>
      <c r="L9" s="129" t="s">
        <v>188</v>
      </c>
      <c r="M9" s="582" t="s"/>
      <c r="N9" s="583" t="s"/>
    </row>
    <row customHeight="true" hidden="false" ht="21.75" outlineLevel="0" r="10">
      <c r="A10" s="17" t="n">
        <v>1</v>
      </c>
      <c r="B10" s="144" t="s">
        <v>189</v>
      </c>
      <c r="C10" s="592" t="s"/>
      <c r="D10" s="153" t="n">
        <f aca="false" ca="false" dt2D="false" dtr="false" t="normal">68227*1.302</f>
        <v>88831.554</v>
      </c>
      <c r="E10" s="593" t="s"/>
      <c r="F10" s="594" t="s"/>
      <c r="G10" s="153" t="n">
        <v>9600</v>
      </c>
      <c r="H10" s="597" t="s"/>
      <c r="I10" s="153" t="n">
        <f aca="false" ca="false" dt2D="false" dtr="false" t="normal">SUM(60*10.6)</f>
        <v>636</v>
      </c>
      <c r="J10" s="603" t="s"/>
      <c r="K10" s="604" t="s"/>
      <c r="L10" s="153" t="n">
        <f aca="false" ca="false" dt2D="false" dtr="false" t="normal">D10/G10*I10</f>
        <v>5885.0904525000005</v>
      </c>
      <c r="M10" s="605" t="s"/>
      <c r="N10" s="606" t="s"/>
    </row>
    <row customHeight="true" hidden="false" ht="16.5" outlineLevel="0" r="11">
      <c r="A11" s="17" t="n">
        <v>2</v>
      </c>
      <c r="B11" s="144" t="s">
        <v>237</v>
      </c>
      <c r="C11" s="615" t="s"/>
      <c r="D11" s="153" t="n">
        <f aca="false" ca="false" dt2D="false" dtr="false" t="normal">98188.2*1.302</f>
        <v>127841.0364</v>
      </c>
      <c r="E11" s="617" t="s"/>
      <c r="F11" s="618" t="s"/>
      <c r="G11" s="153" t="n">
        <v>9600</v>
      </c>
      <c r="H11" s="619" t="s"/>
      <c r="I11" s="153" t="n">
        <f aca="false" ca="false" dt2D="false" dtr="false" t="normal">SUM(20)</f>
        <v>20</v>
      </c>
      <c r="J11" s="620" t="s"/>
      <c r="K11" s="621" t="s"/>
      <c r="L11" s="153" t="n">
        <f aca="false" ca="false" dt2D="false" dtr="false" t="normal">D11/G11*I11</f>
        <v>266.3354925</v>
      </c>
      <c r="M11" s="622" t="s"/>
      <c r="N11" s="623" t="s"/>
    </row>
    <row customHeight="true" hidden="false" ht="22.5" outlineLevel="0" r="12">
      <c r="A12" s="124" t="n"/>
      <c r="B12" s="144" t="s">
        <v>183</v>
      </c>
      <c r="C12" s="624" t="s"/>
      <c r="D12" s="153" t="n">
        <f aca="false" ca="false" dt2D="false" dtr="false" t="normal">SUM(D10:F11)</f>
        <v>216672.5904</v>
      </c>
      <c r="E12" s="625" t="s"/>
      <c r="F12" s="626" t="s"/>
      <c r="G12" s="153" t="n">
        <f aca="false" ca="false" dt2D="false" dtr="false" t="normal">SUM(G10:H11)</f>
        <v>19200</v>
      </c>
      <c r="H12" s="627" t="s"/>
      <c r="I12" s="153" t="n">
        <f aca="false" ca="false" dt2D="false" dtr="false" t="normal">SUM(I10:K11)</f>
        <v>656</v>
      </c>
      <c r="J12" s="628" t="s"/>
      <c r="K12" s="629" t="s"/>
      <c r="L12" s="630" t="n">
        <f aca="false" ca="false" dt2D="false" dtr="false" t="normal">SUM(L10:N11)</f>
        <v>6151.425945000001</v>
      </c>
      <c r="M12" s="631" t="s"/>
      <c r="N12" s="632" t="s"/>
    </row>
    <row customHeight="true" hidden="false" ht="12.75" outlineLevel="0" r="13">
      <c r="A13" s="3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</row>
    <row customHeight="true" hidden="false" ht="12.75" outlineLevel="0" r="14">
      <c r="A14" s="4" t="n"/>
      <c r="B14" s="444" t="s">
        <v>198</v>
      </c>
      <c r="C14" s="633" t="s"/>
      <c r="D14" s="634" t="s"/>
      <c r="E14" s="635" t="s"/>
      <c r="F14" s="636" t="s"/>
      <c r="G14" s="119" t="n"/>
      <c r="H14" s="119" t="n"/>
      <c r="I14" s="119" t="n"/>
      <c r="J14" s="119" t="s"/>
      <c r="K14" s="119" t="s"/>
      <c r="L14" s="352" t="n"/>
      <c r="M14" s="637" t="s"/>
      <c r="N14" s="638" t="s"/>
    </row>
    <row customHeight="true" hidden="false" ht="82.5" outlineLevel="0" r="15">
      <c r="A15" s="196" t="n"/>
      <c r="B15" s="129" t="s">
        <v>200</v>
      </c>
      <c r="C15" s="639" t="s"/>
      <c r="D15" s="129" t="s">
        <v>201</v>
      </c>
      <c r="E15" s="640" t="s"/>
      <c r="F15" s="641" t="s"/>
      <c r="G15" s="129" t="s">
        <v>202</v>
      </c>
      <c r="H15" s="642" t="s"/>
      <c r="I15" s="129" t="s">
        <v>203</v>
      </c>
      <c r="J15" s="643" t="s"/>
      <c r="K15" s="644" t="s"/>
      <c r="L15" s="129" t="s">
        <v>204</v>
      </c>
      <c r="M15" s="645" t="s"/>
      <c r="N15" s="646" t="s"/>
    </row>
    <row customHeight="true" hidden="false" ht="15.75" outlineLevel="0" r="16">
      <c r="A16" s="17" t="n">
        <v>1</v>
      </c>
      <c r="B16" s="144" t="s">
        <v>205</v>
      </c>
      <c r="C16" s="647" t="s"/>
      <c r="D16" s="159" t="s">
        <v>207</v>
      </c>
      <c r="E16" s="648" t="s"/>
      <c r="F16" s="649" t="s"/>
      <c r="G16" s="159" t="n">
        <v>5</v>
      </c>
      <c r="H16" s="650" t="s"/>
      <c r="I16" s="159" t="n">
        <f aca="false" ca="false" dt2D="false" dtr="false" t="normal">587/500</f>
        <v>1.174</v>
      </c>
      <c r="J16" s="651" t="s"/>
      <c r="K16" s="652" t="s"/>
      <c r="L16" s="159" t="n">
        <f aca="false" ca="false" dt2D="false" dtr="false" t="normal">G16*I16</f>
        <v>5.869999999999999</v>
      </c>
      <c r="M16" s="653" t="s"/>
      <c r="N16" s="654" t="s"/>
      <c r="O16" s="93" t="n"/>
    </row>
    <row customHeight="true" hidden="false" ht="15.75" outlineLevel="0" r="17">
      <c r="A17" s="17" t="n">
        <v>2</v>
      </c>
      <c r="B17" s="144" t="s">
        <v>209</v>
      </c>
      <c r="C17" s="655" t="s"/>
      <c r="D17" s="159" t="s">
        <v>210</v>
      </c>
      <c r="E17" s="656" t="s"/>
      <c r="F17" s="657" t="s"/>
      <c r="G17" s="159" t="n">
        <v>0.08</v>
      </c>
      <c r="H17" s="658" t="s"/>
      <c r="I17" s="159" t="n">
        <v>1250</v>
      </c>
      <c r="J17" s="659" t="s"/>
      <c r="K17" s="660" t="s"/>
      <c r="L17" s="159" t="n">
        <f aca="false" ca="false" dt2D="false" dtr="false" t="normal">G17*I17</f>
        <v>100</v>
      </c>
      <c r="M17" s="661" t="s"/>
      <c r="N17" s="662" t="s"/>
      <c r="S17" s="511" t="n"/>
    </row>
    <row customHeight="true" hidden="false" ht="21" outlineLevel="0" r="18">
      <c r="A18" s="124" t="n"/>
      <c r="B18" s="95" t="n"/>
      <c r="C18" s="663" t="s"/>
      <c r="D18" s="95" t="n"/>
      <c r="E18" s="664" t="s"/>
      <c r="F18" s="665" t="s"/>
      <c r="G18" s="95" t="n"/>
      <c r="H18" s="666" t="s"/>
      <c r="I18" s="95" t="n"/>
      <c r="J18" s="667" t="s"/>
      <c r="K18" s="668" t="s"/>
      <c r="L18" s="136" t="n">
        <f aca="false" ca="false" dt2D="false" dtr="false" t="normal">SUM(L16:N17)</f>
        <v>105.87</v>
      </c>
      <c r="M18" s="669" t="s"/>
      <c r="N18" s="670" t="s"/>
    </row>
    <row hidden="false" ht="15.75" outlineLevel="0" r="19">
      <c r="A19" s="4" t="n"/>
      <c r="B19" s="119" t="n"/>
      <c r="C19" s="119" t="n"/>
      <c r="D19" s="119" t="n"/>
      <c r="E19" s="119" t="n"/>
      <c r="F19" s="119" t="n"/>
      <c r="G19" s="119" t="n"/>
      <c r="H19" s="119" t="n"/>
      <c r="I19" s="119" t="n"/>
      <c r="J19" s="119" t="n"/>
      <c r="K19" s="119" t="n"/>
      <c r="L19" s="253" t="n"/>
      <c r="M19" s="253" t="n"/>
      <c r="N19" s="253" t="n"/>
    </row>
    <row hidden="false" ht="15.75" outlineLevel="0" r="20">
      <c r="A20" s="4" t="n"/>
      <c r="B20" s="105" t="s">
        <v>212</v>
      </c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</row>
    <row customHeight="true" hidden="false" ht="86.25" outlineLevel="0" r="21">
      <c r="A21" s="124" t="n"/>
      <c r="B21" s="129" t="s">
        <v>213</v>
      </c>
      <c r="C21" s="671" t="s"/>
      <c r="D21" s="129" t="s">
        <v>214</v>
      </c>
      <c r="E21" s="672" t="s"/>
      <c r="F21" s="673" t="s"/>
      <c r="G21" s="259" t="s">
        <v>215</v>
      </c>
      <c r="H21" s="169" t="s">
        <v>216</v>
      </c>
      <c r="I21" s="674" t="s"/>
      <c r="J21" s="129" t="s">
        <v>217</v>
      </c>
      <c r="K21" s="675" t="s"/>
      <c r="L21" s="676" t="s"/>
      <c r="M21" s="129" t="s">
        <v>250</v>
      </c>
      <c r="N21" s="677" t="s"/>
    </row>
    <row customHeight="true" hidden="false" ht="15.75" outlineLevel="0" r="22">
      <c r="A22" s="17" t="n">
        <v>1</v>
      </c>
      <c r="B22" s="32" t="s">
        <v>173</v>
      </c>
      <c r="C22" s="678" t="s"/>
      <c r="D22" s="95" t="n">
        <v>70000</v>
      </c>
      <c r="E22" s="679" t="s"/>
      <c r="F22" s="680" t="s"/>
      <c r="G22" s="98" t="n">
        <v>0.3</v>
      </c>
      <c r="H22" s="99" t="s">
        <v>174</v>
      </c>
      <c r="I22" s="681" t="s"/>
      <c r="J22" s="95" t="n">
        <v>9</v>
      </c>
      <c r="K22" s="682" t="s"/>
      <c r="L22" s="683" t="s"/>
      <c r="M22" s="106" t="n">
        <f aca="false" ca="false" dt2D="false" dtr="false" t="normal">D22*G22/H22*J22</f>
        <v>118.125</v>
      </c>
      <c r="N22" s="684" t="s"/>
    </row>
    <row customHeight="true" hidden="false" ht="15.75" outlineLevel="0" r="23">
      <c r="A23" s="17" t="n">
        <v>2</v>
      </c>
      <c r="B23" s="32" t="s">
        <v>179</v>
      </c>
      <c r="C23" s="685" t="s"/>
      <c r="D23" s="95" t="n">
        <v>17856</v>
      </c>
      <c r="E23" s="686" t="s"/>
      <c r="F23" s="687" t="s"/>
      <c r="G23" s="98" t="n">
        <v>0.3</v>
      </c>
      <c r="H23" s="99" t="s">
        <v>174</v>
      </c>
      <c r="I23" s="688" t="s"/>
      <c r="J23" s="95" t="n">
        <v>0.5</v>
      </c>
      <c r="K23" s="689" t="s"/>
      <c r="L23" s="690" t="s"/>
      <c r="M23" s="106" t="n">
        <f aca="false" ca="false" dt2D="false" dtr="false" t="normal">D23*G23/H23*J23</f>
        <v>1.6740000000000002</v>
      </c>
      <c r="N23" s="691" t="s"/>
    </row>
    <row customHeight="true" hidden="false" ht="15.75" outlineLevel="0" r="24">
      <c r="A24" s="17" t="n">
        <v>3</v>
      </c>
      <c r="B24" s="32" t="s">
        <v>181</v>
      </c>
      <c r="C24" s="692" t="s"/>
      <c r="D24" s="95" t="n">
        <v>500000</v>
      </c>
      <c r="E24" s="693" t="s"/>
      <c r="F24" s="694" t="s"/>
      <c r="G24" s="98" t="n">
        <v>0.3</v>
      </c>
      <c r="H24" s="99" t="s">
        <v>174</v>
      </c>
      <c r="I24" s="695" t="s"/>
      <c r="J24" s="95" t="n">
        <v>10</v>
      </c>
      <c r="K24" s="696" t="s"/>
      <c r="L24" s="697" t="s"/>
      <c r="M24" s="106" t="n">
        <f aca="false" ca="false" dt2D="false" dtr="false" t="normal">D24*G24/H24*J24</f>
        <v>937.5</v>
      </c>
      <c r="N24" s="698" t="s"/>
    </row>
    <row hidden="false" ht="15.75" outlineLevel="0" r="25">
      <c r="A25" s="124" t="n"/>
      <c r="B25" s="95" t="n"/>
      <c r="C25" s="699" t="s"/>
      <c r="D25" s="95" t="n"/>
      <c r="E25" s="700" t="s"/>
      <c r="F25" s="701" t="s"/>
      <c r="G25" s="98" t="n"/>
      <c r="H25" s="99" t="n"/>
      <c r="I25" s="702" t="s"/>
      <c r="J25" s="95" t="n"/>
      <c r="K25" s="703" t="s"/>
      <c r="L25" s="704" t="s"/>
      <c r="M25" s="136" t="n">
        <f aca="false" ca="false" dt2D="false" dtr="false" t="normal">SUM(M22:N24)</f>
        <v>1057.299</v>
      </c>
      <c r="N25" s="705" t="s"/>
    </row>
    <row customHeight="true" hidden="false" ht="12.75" outlineLevel="0" r="26">
      <c r="A26" s="4" t="n"/>
      <c r="B26" s="4" t="n"/>
      <c r="C26" s="4" t="n"/>
      <c r="D26" s="4" t="n"/>
      <c r="E26" s="4" t="n"/>
      <c r="F26" s="4" t="n"/>
      <c r="G26" s="4" t="n"/>
      <c r="H26" s="4" t="n"/>
      <c r="I26" s="558" t="n"/>
      <c r="J26" s="119" t="n"/>
      <c r="K26" s="119" t="n"/>
      <c r="L26" s="4" t="n"/>
      <c r="M26" s="4" t="n"/>
      <c r="N26" s="4" t="n"/>
    </row>
    <row customFormat="true" customHeight="true" hidden="false" ht="16.5" outlineLevel="0" r="27" s="93">
      <c r="A27" s="4" t="n"/>
      <c r="B27" s="101" t="s">
        <v>219</v>
      </c>
      <c r="C27" s="119" t="n"/>
      <c r="D27" s="119" t="n"/>
      <c r="E27" s="119" t="n"/>
      <c r="F27" s="119" t="n"/>
      <c r="G27" s="119" t="n"/>
      <c r="H27" s="119" t="n"/>
      <c r="I27" s="119" t="n"/>
      <c r="J27" s="4" t="n"/>
      <c r="K27" s="4" t="n"/>
      <c r="L27" s="4" t="n"/>
      <c r="M27" s="4" t="n"/>
      <c r="N27" s="4" t="n"/>
    </row>
    <row customFormat="true" customHeight="true" hidden="false" ht="15.75" outlineLevel="0" r="28" s="93">
      <c r="A28" s="20" t="n"/>
      <c r="B28" s="266" t="s">
        <v>220</v>
      </c>
      <c r="C28" s="706" t="s"/>
      <c r="D28" s="707" t="s"/>
      <c r="E28" s="708" t="s"/>
      <c r="F28" s="709" t="s"/>
      <c r="G28" s="710" t="s"/>
      <c r="H28" s="711" t="s"/>
      <c r="I28" s="712" t="s"/>
      <c r="J28" s="713" t="s"/>
      <c r="K28" s="275" t="s">
        <v>221</v>
      </c>
      <c r="L28" s="4" t="n"/>
      <c r="M28" s="4" t="n"/>
      <c r="N28" s="4" t="n"/>
    </row>
    <row customFormat="true" customHeight="true" hidden="false" ht="15.75" outlineLevel="0" r="29" s="93">
      <c r="A29" s="17" t="n">
        <v>1</v>
      </c>
      <c r="B29" s="276" t="s">
        <v>222</v>
      </c>
      <c r="C29" s="714" t="s"/>
      <c r="D29" s="715" t="s"/>
      <c r="E29" s="716" t="s"/>
      <c r="F29" s="717" t="s"/>
      <c r="G29" s="718" t="s"/>
      <c r="H29" s="719" t="s"/>
      <c r="I29" s="720" t="s"/>
      <c r="J29" s="721" t="s"/>
      <c r="K29" s="285" t="n">
        <f aca="false" ca="false" dt2D="false" dtr="false" t="normal">SUM(K30:K31)</f>
        <v>102005.23762063854</v>
      </c>
      <c r="L29" s="4" t="n"/>
      <c r="M29" s="4" t="n"/>
      <c r="N29" s="4" t="n"/>
    </row>
    <row customFormat="true" customHeight="true" hidden="false" ht="28.5" outlineLevel="0" r="30" s="93">
      <c r="A30" s="17" t="n"/>
      <c r="B30" s="144" t="s">
        <v>223</v>
      </c>
      <c r="C30" s="722" t="s"/>
      <c r="D30" s="723" t="s"/>
      <c r="E30" s="724" t="s"/>
      <c r="F30" s="725" t="s"/>
      <c r="G30" s="726" t="s"/>
      <c r="H30" s="727" t="s"/>
      <c r="I30" s="728" t="s"/>
      <c r="J30" s="729" t="s"/>
      <c r="K30" s="285" t="n">
        <f aca="false" ca="false" dt2D="false" dtr="false" t="normal">(15990207-D12)*1.302/218</f>
        <v>94207.07248302386</v>
      </c>
      <c r="L30" s="4" t="n"/>
      <c r="M30" s="4" t="n"/>
      <c r="N30" s="4" t="n"/>
    </row>
    <row customFormat="true" customHeight="true" hidden="false" ht="31.5" outlineLevel="0" r="31" s="93">
      <c r="A31" s="17" t="n"/>
      <c r="B31" s="144" t="s">
        <v>224</v>
      </c>
      <c r="C31" s="730" t="s"/>
      <c r="D31" s="731" t="s"/>
      <c r="E31" s="732" t="s"/>
      <c r="F31" s="733" t="s"/>
      <c r="G31" s="734" t="s"/>
      <c r="H31" s="735" t="s"/>
      <c r="I31" s="736" t="s"/>
      <c r="J31" s="737" t="s"/>
      <c r="K31" s="285" t="n">
        <f aca="false" ca="false" dt2D="false" dtr="false" t="normal">(200000+1500000)/218</f>
        <v>7798.165137614679</v>
      </c>
      <c r="L31" s="4" t="n"/>
      <c r="M31" s="4" t="n"/>
      <c r="N31" s="4" t="n"/>
    </row>
    <row customFormat="true" customHeight="true" hidden="false" ht="12.75" outlineLevel="0" r="32" s="93">
      <c r="A32" s="17" t="n">
        <v>2</v>
      </c>
      <c r="B32" s="144" t="s">
        <v>225</v>
      </c>
      <c r="C32" s="738" t="s"/>
      <c r="D32" s="739" t="s"/>
      <c r="E32" s="740" t="s"/>
      <c r="F32" s="741" t="s"/>
      <c r="G32" s="742" t="s"/>
      <c r="H32" s="743" t="s"/>
      <c r="I32" s="744" t="s"/>
      <c r="J32" s="745" t="s"/>
      <c r="K32" s="285" t="n">
        <f aca="false" ca="false" dt2D="false" dtr="false" t="normal">SUM(K33:K34)</f>
        <v>68104.96788990825</v>
      </c>
      <c r="L32" s="4" t="n"/>
      <c r="M32" s="4" t="n"/>
      <c r="N32" s="4" t="n"/>
    </row>
    <row customFormat="true" customHeight="true" hidden="false" ht="16.5" outlineLevel="0" r="33" s="93">
      <c r="A33" s="17" t="n"/>
      <c r="B33" s="310" t="s">
        <v>227</v>
      </c>
      <c r="C33" s="746" t="s"/>
      <c r="D33" s="747" t="s"/>
      <c r="E33" s="748" t="s"/>
      <c r="F33" s="749" t="s"/>
      <c r="G33" s="750" t="s"/>
      <c r="H33" s="751" t="s"/>
      <c r="I33" s="752" t="s"/>
      <c r="J33" s="753" t="s"/>
      <c r="K33" s="285" t="n">
        <f aca="false" ca="false" dt2D="false" dtr="false" t="normal">2000000/218</f>
        <v>9174.311926605504</v>
      </c>
      <c r="L33" s="4" t="n"/>
      <c r="M33" s="4" t="n"/>
      <c r="N33" s="4" t="n"/>
    </row>
    <row customFormat="true" customHeight="true" hidden="false" ht="15.75" outlineLevel="0" r="34" s="93">
      <c r="A34" s="17" t="n"/>
      <c r="B34" s="310" t="s">
        <v>228</v>
      </c>
      <c r="C34" s="754" t="s"/>
      <c r="D34" s="755" t="s"/>
      <c r="E34" s="756" t="s"/>
      <c r="F34" s="757" t="s"/>
      <c r="G34" s="758" t="s"/>
      <c r="H34" s="759" t="s"/>
      <c r="I34" s="760" t="s"/>
      <c r="J34" s="761" t="s"/>
      <c r="K34" s="285" t="n">
        <f aca="false" ca="false" dt2D="false" dtr="false" t="normal">(8246883+3800000+800000)/218</f>
        <v>58930.65596330275</v>
      </c>
      <c r="L34" s="4" t="n"/>
      <c r="M34" s="4" t="n"/>
      <c r="N34" s="4" t="n"/>
    </row>
    <row customFormat="true" customHeight="true" hidden="false" ht="16.5" outlineLevel="0" r="35" s="93">
      <c r="A35" s="17" t="n">
        <v>3</v>
      </c>
      <c r="B35" s="144" t="s">
        <v>230</v>
      </c>
      <c r="C35" s="770" t="s"/>
      <c r="D35" s="771" t="s"/>
      <c r="E35" s="772" t="s"/>
      <c r="F35" s="773" t="s"/>
      <c r="G35" s="774" t="s"/>
      <c r="H35" s="775" t="s"/>
      <c r="I35" s="776" t="s"/>
      <c r="J35" s="777" t="s"/>
      <c r="K35" s="285" t="n">
        <f aca="false" ca="false" dt2D="false" dtr="false" t="normal">M25</f>
        <v>1057.299</v>
      </c>
      <c r="L35" s="4" t="n"/>
      <c r="M35" s="4" t="n"/>
      <c r="N35" s="4" t="n"/>
    </row>
    <row customFormat="true" customHeight="true" hidden="false" ht="15.75" outlineLevel="0" r="36" s="93">
      <c r="A36" s="17" t="n"/>
      <c r="B36" s="276" t="s">
        <v>183</v>
      </c>
      <c r="C36" s="778" t="s"/>
      <c r="D36" s="779" t="s"/>
      <c r="E36" s="780" t="s"/>
      <c r="F36" s="781" t="s"/>
      <c r="G36" s="782" t="s"/>
      <c r="H36" s="783" t="s"/>
      <c r="I36" s="784" t="s"/>
      <c r="J36" s="785" t="s"/>
      <c r="K36" s="285" t="n">
        <f aca="false" ca="false" dt2D="false" dtr="false" t="normal">K32+K35</f>
        <v>69162.26688990825</v>
      </c>
      <c r="L36" s="4" t="n"/>
      <c r="M36" s="4" t="n"/>
      <c r="N36" s="4" t="n"/>
    </row>
    <row customFormat="true" customHeight="true" hidden="false" ht="15.75" outlineLevel="0" r="37" s="93">
      <c r="A37" s="17" t="n">
        <v>4</v>
      </c>
      <c r="B37" s="144" t="s">
        <v>231</v>
      </c>
      <c r="C37" s="794" t="s"/>
      <c r="D37" s="795" t="s"/>
      <c r="E37" s="796" t="s"/>
      <c r="F37" s="797" t="s"/>
      <c r="G37" s="798" t="s"/>
      <c r="H37" s="799" t="s"/>
      <c r="I37" s="800" t="s"/>
      <c r="J37" s="801" t="s"/>
      <c r="K37" s="285" t="n">
        <f aca="false" ca="false" dt2D="false" dtr="false" t="normal">SUM(D12)</f>
        <v>216672.5904</v>
      </c>
      <c r="L37" s="4" t="n"/>
      <c r="M37" s="4" t="n"/>
      <c r="N37" s="4" t="n"/>
    </row>
    <row customFormat="true" customHeight="true" hidden="false" ht="15.75" outlineLevel="0" r="38" s="93">
      <c r="A38" s="17" t="n">
        <v>5</v>
      </c>
      <c r="B38" s="276" t="s">
        <v>234</v>
      </c>
      <c r="C38" s="810" t="s"/>
      <c r="D38" s="811" t="s"/>
      <c r="E38" s="812" t="s"/>
      <c r="F38" s="813" t="s"/>
      <c r="G38" s="814" t="s"/>
      <c r="H38" s="815" t="s"/>
      <c r="I38" s="816" t="s"/>
      <c r="J38" s="820" t="s"/>
      <c r="K38" s="285" t="n">
        <f aca="false" ca="false" dt2D="false" dtr="false" t="normal">(K29+K32+K35)/K37</f>
        <v>0.7899822686134591</v>
      </c>
      <c r="L38" s="4" t="n"/>
      <c r="M38" s="4" t="n"/>
      <c r="N38" s="4" t="n"/>
    </row>
    <row customFormat="true" customHeight="true" hidden="false" ht="15.75" outlineLevel="0" r="39" s="93">
      <c r="A39" s="17" t="n">
        <f aca="false" ca="false" dt2D="false" dtr="false" t="normal">SUM(A38+1)</f>
        <v>6</v>
      </c>
      <c r="B39" s="144" t="s">
        <v>235</v>
      </c>
      <c r="C39" s="826" t="s"/>
      <c r="D39" s="827" t="s"/>
      <c r="E39" s="828" t="s"/>
      <c r="F39" s="829" t="s"/>
      <c r="G39" s="830" t="s"/>
      <c r="H39" s="831" t="s"/>
      <c r="I39" s="832" t="s"/>
      <c r="J39" s="833" t="s"/>
      <c r="K39" s="285" t="n">
        <f aca="false" ca="false" dt2D="false" dtr="false" t="normal">L12</f>
        <v>6151.425945000001</v>
      </c>
      <c r="L39" s="4" t="n"/>
      <c r="M39" s="4" t="n"/>
      <c r="N39" s="4" t="n"/>
    </row>
    <row customHeight="true" hidden="false" ht="15.75" outlineLevel="0" r="40">
      <c r="A40" s="124" t="n"/>
      <c r="B40" s="276" t="s">
        <v>236</v>
      </c>
      <c r="C40" s="762" t="s"/>
      <c r="D40" s="763" t="s"/>
      <c r="E40" s="764" t="s"/>
      <c r="F40" s="765" t="s"/>
      <c r="G40" s="766" t="s"/>
      <c r="H40" s="767" t="s"/>
      <c r="I40" s="768" t="s"/>
      <c r="J40" s="769" t="s"/>
      <c r="K40" s="395" t="n">
        <f aca="false" ca="false" dt2D="false" dtr="false" t="normal">SUM(K39*K38)</f>
        <v>4859.517423238793</v>
      </c>
      <c r="L40" s="4" t="n"/>
      <c r="M40" s="4" t="n"/>
      <c r="N40" s="4" t="n"/>
    </row>
    <row customHeight="true" hidden="false" ht="8.25" outlineLevel="0"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</row>
    <row customHeight="true" hidden="false" ht="50.25" outlineLevel="0" r="42">
      <c r="A42" s="403" t="s">
        <v>251</v>
      </c>
      <c r="B42" s="403" t="s"/>
      <c r="C42" s="403" t="s"/>
      <c r="D42" s="403" t="s"/>
      <c r="E42" s="403" t="s"/>
      <c r="F42" s="403" t="s"/>
      <c r="G42" s="403" t="s"/>
      <c r="H42" s="403" t="s"/>
      <c r="I42" s="403" t="s"/>
      <c r="J42" s="403" t="s"/>
      <c r="K42" s="403" t="s"/>
      <c r="L42" s="4" t="n"/>
      <c r="M42" s="4" t="n"/>
      <c r="N42" s="4" t="n"/>
    </row>
    <row customHeight="true" hidden="false" ht="31.5" outlineLevel="0" r="43">
      <c r="A43" s="169" t="s">
        <v>239</v>
      </c>
      <c r="B43" s="169" t="s">
        <v>240</v>
      </c>
      <c r="C43" s="786" t="s"/>
      <c r="D43" s="787" t="s"/>
      <c r="E43" s="788" t="s"/>
      <c r="F43" s="789" t="s"/>
      <c r="G43" s="790" t="s"/>
      <c r="H43" s="791" t="s"/>
      <c r="I43" s="792" t="s"/>
      <c r="J43" s="793" t="s"/>
      <c r="K43" s="417" t="s">
        <v>241</v>
      </c>
      <c r="L43" s="4" t="n"/>
      <c r="M43" s="4" t="n"/>
      <c r="N43" s="4" t="n"/>
    </row>
    <row customHeight="true" hidden="false" ht="15.75" outlineLevel="0" r="44">
      <c r="A44" s="67" t="n">
        <v>1</v>
      </c>
      <c r="B44" s="177" t="s">
        <v>242</v>
      </c>
      <c r="C44" s="802" t="s"/>
      <c r="D44" s="803" t="s"/>
      <c r="E44" s="804" t="s"/>
      <c r="F44" s="805" t="s"/>
      <c r="G44" s="806" t="s"/>
      <c r="H44" s="807" t="s"/>
      <c r="I44" s="808" t="s"/>
      <c r="J44" s="809" t="s"/>
      <c r="K44" s="567" t="n">
        <f aca="false" ca="false" dt2D="false" dtr="false" t="normal">SUM(L12)</f>
        <v>6151.425945000001</v>
      </c>
      <c r="L44" s="4" t="n"/>
      <c r="M44" s="4" t="n"/>
      <c r="N44" s="4" t="n"/>
    </row>
    <row customHeight="true" hidden="false" ht="15.75" outlineLevel="0" r="45">
      <c r="A45" s="67" t="n">
        <v>2</v>
      </c>
      <c r="B45" s="189" t="s">
        <v>243</v>
      </c>
      <c r="C45" s="817" t="s"/>
      <c r="D45" s="818" t="s"/>
      <c r="E45" s="819" t="s"/>
      <c r="F45" s="821" t="s"/>
      <c r="G45" s="822" t="s"/>
      <c r="H45" s="823" t="s"/>
      <c r="I45" s="824" t="s"/>
      <c r="J45" s="825" t="s"/>
      <c r="K45" s="567" t="n">
        <f aca="false" ca="false" dt2D="false" dtr="false" t="normal">SUM(L18)</f>
        <v>105.87</v>
      </c>
      <c r="L45" s="4" t="n"/>
      <c r="M45" s="4" t="n"/>
      <c r="N45" s="4" t="n"/>
    </row>
    <row customHeight="true" hidden="false" ht="28.5" outlineLevel="0" r="46">
      <c r="A46" s="67" t="n">
        <v>3</v>
      </c>
      <c r="B46" s="177" t="s">
        <v>244</v>
      </c>
      <c r="C46" s="559" t="s"/>
      <c r="D46" s="560" t="s"/>
      <c r="E46" s="561" t="s"/>
      <c r="F46" s="562" t="s"/>
      <c r="G46" s="563" t="s"/>
      <c r="H46" s="564" t="s"/>
      <c r="I46" s="565" t="s"/>
      <c r="J46" s="566" t="s"/>
      <c r="K46" s="567" t="n">
        <f aca="false" ca="false" dt2D="false" dtr="false" t="normal">SUM(M25)</f>
        <v>1057.299</v>
      </c>
      <c r="L46" s="4" t="n"/>
      <c r="M46" s="4" t="n"/>
      <c r="N46" s="4" t="n"/>
    </row>
    <row customHeight="true" hidden="false" ht="15.75" outlineLevel="0" r="47">
      <c r="A47" s="67" t="n">
        <v>4</v>
      </c>
      <c r="B47" s="177" t="s">
        <v>245</v>
      </c>
      <c r="C47" s="568" t="s"/>
      <c r="D47" s="569" t="s"/>
      <c r="E47" s="570" t="s"/>
      <c r="F47" s="571" t="s"/>
      <c r="G47" s="572" t="s"/>
      <c r="H47" s="573" t="s"/>
      <c r="I47" s="574" t="s"/>
      <c r="J47" s="575" t="s"/>
      <c r="K47" s="567" t="n">
        <f aca="false" ca="false" dt2D="false" dtr="false" t="normal">SUM(K40)</f>
        <v>4859.517423238793</v>
      </c>
      <c r="L47" s="4" t="n"/>
      <c r="M47" s="4" t="n"/>
      <c r="N47" s="4" t="n"/>
    </row>
    <row customHeight="true" hidden="false" ht="15.75" outlineLevel="0" r="48">
      <c r="A48" s="67" t="n">
        <v>5</v>
      </c>
      <c r="B48" s="189" t="s">
        <v>247</v>
      </c>
      <c r="C48" s="584" t="s"/>
      <c r="D48" s="585" t="s"/>
      <c r="E48" s="586" t="s"/>
      <c r="F48" s="587" t="s"/>
      <c r="G48" s="588" t="s"/>
      <c r="H48" s="589" t="s"/>
      <c r="I48" s="590" t="s"/>
      <c r="J48" s="591" t="s"/>
      <c r="K48" s="567" t="n">
        <f aca="false" ca="false" dt2D="false" dtr="false" t="normal">SUM(K44:K47)</f>
        <v>12174.112368238793</v>
      </c>
      <c r="L48" s="4" t="n"/>
      <c r="M48" s="4" t="n"/>
      <c r="N48" s="4" t="n"/>
    </row>
    <row customHeight="true" hidden="false" ht="15.75" outlineLevel="0" r="49">
      <c r="A49" s="67" t="n">
        <v>6</v>
      </c>
      <c r="B49" s="492" t="s">
        <v>208</v>
      </c>
      <c r="C49" s="595" t="s"/>
      <c r="D49" s="596" t="s"/>
      <c r="E49" s="598" t="s"/>
      <c r="F49" s="599" t="s"/>
      <c r="G49" s="600" t="s"/>
      <c r="H49" s="601" t="s"/>
      <c r="I49" s="602" t="s"/>
      <c r="J49" s="494" t="n"/>
      <c r="K49" s="567" t="n">
        <f aca="false" ca="false" dt2D="false" dtr="false" t="normal">SUM(K48*0.22)</f>
        <v>2678.3047210125346</v>
      </c>
      <c r="L49" s="4" t="n"/>
      <c r="M49" s="4" t="n"/>
      <c r="N49" s="4" t="n"/>
    </row>
    <row customHeight="true" hidden="false" ht="15.75" outlineLevel="0" r="50">
      <c r="A50" s="67" t="n"/>
      <c r="B50" s="177" t="s">
        <v>211</v>
      </c>
      <c r="C50" s="607" t="s"/>
      <c r="D50" s="608" t="s"/>
      <c r="E50" s="609" t="s"/>
      <c r="F50" s="610" t="s"/>
      <c r="G50" s="611" t="s"/>
      <c r="H50" s="612" t="s"/>
      <c r="I50" s="613" t="s"/>
      <c r="J50" s="614" t="s"/>
      <c r="K50" s="616" t="n">
        <f aca="false" ca="false" dt2D="false" dtr="false" t="normal">SUM(K48+K49)-52</f>
        <v>14800.417089251328</v>
      </c>
      <c r="L50" s="4" t="n"/>
      <c r="M50" s="4" t="n"/>
      <c r="N50" s="4" t="n"/>
    </row>
    <row customHeight="true" hidden="false" ht="15.75" outlineLevel="0" r="51">
      <c r="A51" s="4" t="n"/>
      <c r="B51" s="188" t="n"/>
      <c r="C51" s="188" t="s"/>
      <c r="D51" s="188" t="s"/>
      <c r="E51" s="188" t="s"/>
      <c r="F51" s="188" t="s"/>
      <c r="G51" s="188" t="s"/>
      <c r="H51" s="188" t="s"/>
      <c r="I51" s="188" t="s"/>
      <c r="J51" s="188" t="s"/>
      <c r="K51" s="188" t="s"/>
      <c r="L51" s="188" t="s"/>
      <c r="M51" s="188" t="s"/>
      <c r="N51" s="188" t="s"/>
    </row>
    <row customHeight="true" hidden="false" ht="15.75" outlineLevel="0" r="52">
      <c r="A52" s="4" t="n"/>
      <c r="B52" s="188" t="n"/>
      <c r="C52" s="188" t="s"/>
      <c r="D52" s="188" t="s"/>
      <c r="E52" s="188" t="s"/>
      <c r="F52" s="188" t="s"/>
      <c r="G52" s="188" t="s"/>
      <c r="H52" s="188" t="s"/>
      <c r="I52" s="188" t="s"/>
      <c r="J52" s="188" t="s"/>
      <c r="K52" s="188" t="s"/>
      <c r="L52" s="188" t="s"/>
      <c r="M52" s="188" t="s"/>
      <c r="N52" s="188" t="s"/>
    </row>
    <row hidden="false" ht="15.75" outlineLevel="0" r="53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</row>
    <row hidden="false" ht="15.75" outlineLevel="0" r="5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</row>
    <row customHeight="true" hidden="false" ht="28.5" outlineLevel="0" r="55">
      <c r="A55" s="519" t="n"/>
      <c r="B55" s="519" t="s"/>
      <c r="C55" s="519" t="s"/>
      <c r="D55" s="519" t="s"/>
      <c r="E55" s="519" t="s"/>
      <c r="F55" s="519" t="s"/>
      <c r="G55" s="519" t="s"/>
      <c r="H55" s="519" t="s"/>
      <c r="I55" s="519" t="s"/>
      <c r="J55" s="519" t="s"/>
      <c r="K55" s="519" t="s"/>
      <c r="L55" s="4" t="n"/>
      <c r="M55" s="4" t="n"/>
      <c r="N55" s="4" t="n"/>
    </row>
    <row hidden="false" ht="15.75" outlineLevel="0" r="56">
      <c r="A56" s="3" t="n"/>
      <c r="B56" s="4" t="n"/>
      <c r="C56" s="4" t="n"/>
      <c r="D56" s="143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</row>
    <row hidden="false" ht="15.75" outlineLevel="0" r="57">
      <c r="A57" s="3" t="n"/>
      <c r="B57" s="4" t="n"/>
      <c r="C57" s="4" t="n"/>
      <c r="D57" s="143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</row>
    <row customHeight="true" hidden="false" ht="29.25" outlineLevel="0" r="58">
      <c r="A58" s="519" t="n"/>
      <c r="B58" s="519" t="s"/>
      <c r="C58" s="519" t="s"/>
      <c r="D58" s="519" t="s"/>
      <c r="E58" s="519" t="s"/>
      <c r="F58" s="519" t="s"/>
      <c r="G58" s="519" t="s"/>
      <c r="H58" s="519" t="s"/>
      <c r="I58" s="519" t="s"/>
      <c r="J58" s="519" t="s"/>
      <c r="K58" s="519" t="s"/>
      <c r="L58" s="4" t="n"/>
      <c r="M58" s="4" t="n"/>
      <c r="N58" s="4" t="n"/>
    </row>
    <row hidden="false" ht="15.75" outlineLevel="0" r="5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</row>
    <row hidden="false" ht="15.75" outlineLevel="0" r="60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</row>
    <row hidden="false" ht="15.75" outlineLevel="0" r="6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</row>
    <row hidden="false" ht="15.75" outlineLevel="0" r="62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</row>
    <row hidden="false" ht="15.75" outlineLevel="0" r="63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</row>
    <row hidden="false" ht="15.75" outlineLevel="0" r="64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</row>
    <row hidden="false" ht="15.75" outlineLevel="0" r="65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</row>
    <row hidden="false" ht="15.75" outlineLevel="0" r="66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</row>
    <row hidden="false" ht="15.75" outlineLevel="0" r="67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</row>
    <row hidden="false" ht="15.75" outlineLevel="0" r="68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</row>
    <row hidden="false" ht="15.75" outlineLevel="0" r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</row>
    <row hidden="false" ht="15.75" outlineLevel="0" r="70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</row>
    <row hidden="false" ht="15.75" outlineLevel="0" r="7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</row>
    <row hidden="false" ht="15.75" outlineLevel="0" r="72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</row>
    <row hidden="false" ht="15.75" outlineLevel="0" r="73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</row>
    <row hidden="false" ht="15.75" outlineLevel="0" r="74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</row>
    <row hidden="false" ht="15.75" outlineLevel="0" r="75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</row>
    <row hidden="false" ht="15.75" outlineLevel="0" r="76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</row>
    <row hidden="false" ht="15.75" outlineLevel="0" r="77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</row>
    <row hidden="false" ht="15.75" outlineLevel="0" r="78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</row>
    <row hidden="false" ht="15.75" outlineLevel="0" r="7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</row>
    <row hidden="false" ht="15.75" outlineLevel="0" r="80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</row>
    <row hidden="false" ht="15.75" outlineLevel="0" r="8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</row>
    <row hidden="false" ht="15.75" outlineLevel="0" r="82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</row>
    <row hidden="false" ht="15.75" outlineLevel="0" r="83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</row>
    <row hidden="false" ht="15.75" outlineLevel="0" r="84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</row>
    <row hidden="false" ht="15.75" outlineLevel="0" r="85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</row>
    <row hidden="false" ht="15.75" outlineLevel="0" r="86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</row>
    <row hidden="false" ht="15.75" outlineLevel="0" r="87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</row>
    <row hidden="false" ht="15.75" outlineLevel="0" r="88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</row>
    <row hidden="false" ht="15.75" outlineLevel="0" r="89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</row>
    <row hidden="false" ht="15.75" outlineLevel="0" r="90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96">
    <mergeCell ref="K4:Q4"/>
    <mergeCell ref="B7:N7"/>
    <mergeCell ref="L10:N10"/>
    <mergeCell ref="L9:N9"/>
    <mergeCell ref="B9:C9"/>
    <mergeCell ref="D9:F9"/>
    <mergeCell ref="G9:H9"/>
    <mergeCell ref="I9:K9"/>
    <mergeCell ref="G10:H10"/>
    <mergeCell ref="I10:K10"/>
    <mergeCell ref="D10:F10"/>
    <mergeCell ref="B10:C10"/>
    <mergeCell ref="B11:C11"/>
    <mergeCell ref="D11:F11"/>
    <mergeCell ref="B12:C12"/>
    <mergeCell ref="D12:F12"/>
    <mergeCell ref="G11:H11"/>
    <mergeCell ref="I11:K11"/>
    <mergeCell ref="L11:N11"/>
    <mergeCell ref="G12:H12"/>
    <mergeCell ref="I12:K12"/>
    <mergeCell ref="L12:N12"/>
    <mergeCell ref="B14:F14"/>
    <mergeCell ref="B15:C15"/>
    <mergeCell ref="D15:F15"/>
    <mergeCell ref="I14:K14"/>
    <mergeCell ref="L14:N14"/>
    <mergeCell ref="G15:H15"/>
    <mergeCell ref="I15:K15"/>
    <mergeCell ref="L15:N15"/>
    <mergeCell ref="B16:C16"/>
    <mergeCell ref="D16:F16"/>
    <mergeCell ref="B17:C17"/>
    <mergeCell ref="D17:F17"/>
    <mergeCell ref="G16:H16"/>
    <mergeCell ref="G17:H17"/>
    <mergeCell ref="I16:K16"/>
    <mergeCell ref="L16:N16"/>
    <mergeCell ref="I17:K17"/>
    <mergeCell ref="L17:N17"/>
    <mergeCell ref="G18:H18"/>
    <mergeCell ref="L18:N18"/>
    <mergeCell ref="I18:K18"/>
    <mergeCell ref="B18:C18"/>
    <mergeCell ref="D18:F18"/>
    <mergeCell ref="D21:F21"/>
    <mergeCell ref="B21:C21"/>
    <mergeCell ref="B22:C22"/>
    <mergeCell ref="D22:F22"/>
    <mergeCell ref="D23:F23"/>
    <mergeCell ref="B23:C23"/>
    <mergeCell ref="D24:F24"/>
    <mergeCell ref="B24:C24"/>
    <mergeCell ref="D25:F25"/>
    <mergeCell ref="B25:C25"/>
    <mergeCell ref="M21:N21"/>
    <mergeCell ref="J21:L21"/>
    <mergeCell ref="H22:I22"/>
    <mergeCell ref="H21:I21"/>
    <mergeCell ref="J22:L22"/>
    <mergeCell ref="M22:N22"/>
    <mergeCell ref="M23:N23"/>
    <mergeCell ref="M24:N24"/>
    <mergeCell ref="J23:L23"/>
    <mergeCell ref="M25:N25"/>
    <mergeCell ref="J24:L24"/>
    <mergeCell ref="J25:L25"/>
    <mergeCell ref="H23:I23"/>
    <mergeCell ref="H24:I24"/>
    <mergeCell ref="H25:I25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A42:K42"/>
    <mergeCell ref="B43:J43"/>
    <mergeCell ref="B44:J44"/>
    <mergeCell ref="B45:J45"/>
    <mergeCell ref="B46:J46"/>
    <mergeCell ref="B47:J47"/>
    <mergeCell ref="B48:J48"/>
    <mergeCell ref="B49:I49"/>
    <mergeCell ref="B50:J50"/>
    <mergeCell ref="B51:N51"/>
    <mergeCell ref="B52:N52"/>
    <mergeCell ref="A55:K55"/>
    <mergeCell ref="A58:K58"/>
  </mergeCells>
  <pageMargins bottom="0.75" footer="0.511811017990112" header="0.511811017990112" left="0.700000047683716" right="0.700000047683716" top="0.75"/>
  <pageSetup fitToHeight="0" fitToWidth="1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W62"/>
  <sheetViews>
    <sheetView showZeros="true" workbookViewId="0"/>
  </sheetViews>
  <sheetFormatPr baseColWidth="8" customHeight="false" defaultColWidth="9.01358353688254" defaultRowHeight="12.75" zeroHeight="false"/>
  <cols>
    <col customWidth="true" hidden="false" max="1" min="1" outlineLevel="0" style="93" width="3.51202187927726"/>
    <col customWidth="true" hidden="false" max="2" min="2" outlineLevel="0" style="93" width="12.962912175516"/>
    <col customWidth="true" hidden="false" max="3" min="3" outlineLevel="0" style="93" width="9.85536528307338"/>
    <col customWidth="true" hidden="false" max="4" min="4" outlineLevel="0" style="93" width="13.1010262128073"/>
    <col customWidth="true" hidden="false" max="5" min="5" outlineLevel="0" style="93" width="3.65013523990387"/>
    <col customWidth="true" hidden="false" max="6" min="6" outlineLevel="0" style="93" width="2.94970401839039"/>
    <col customWidth="true" hidden="false" max="7" min="7" outlineLevel="0" style="93" width="10.1414570993718"/>
    <col customWidth="true" hidden="false" max="8" min="8" outlineLevel="0" style="93" width="4.22231853416827"/>
    <col customWidth="true" hidden="false" max="9" min="9" outlineLevel="0" style="93" width="7.1818879859362"/>
    <col customWidth="true" hidden="false" max="10" min="10" outlineLevel="0" style="93" width="5.33708949922919"/>
    <col customWidth="true" hidden="false" max="11" min="11" outlineLevel="0" style="93" width="12.962912175516"/>
    <col customWidth="true" hidden="false" max="12" min="12" outlineLevel="0" style="93" width="8.73072888463492"/>
    <col bestFit="true" customWidth="true" hidden="false" max="13" min="13" outlineLevel="0" style="93" width="9.01682070093331"/>
    <col customWidth="true" hidden="false" max="14" min="14" outlineLevel="0" style="93" width="6.47159099271283"/>
    <col customWidth="true" hidden="false" max="15" min="15" outlineLevel="0" style="93" width="4.63665827771572"/>
    <col customWidth="true" hidden="false" max="16" min="16" outlineLevel="0" style="93" width="5.33708949922919"/>
    <col customWidth="true" hidden="false" max="17" min="17" outlineLevel="0" style="93" width="4.63665827771572"/>
    <col bestFit="true" customWidth="true" hidden="false" max="257" min="18" outlineLevel="0" style="93" width="9.01682070093331"/>
  </cols>
  <sheetData>
    <row hidden="false" ht="15.75" outlineLevel="0" r="2">
      <c r="K2" s="101" t="s">
        <v>175</v>
      </c>
      <c r="L2" s="101" t="n"/>
      <c r="M2" s="4" t="n"/>
      <c r="N2" s="104" t="n"/>
      <c r="O2" s="104" t="n"/>
      <c r="P2" s="104" t="n"/>
      <c r="Q2" s="104" t="n"/>
    </row>
    <row hidden="false" ht="15.75" outlineLevel="0" r="3">
      <c r="K3" s="105" t="s">
        <v>176</v>
      </c>
      <c r="L3" s="4" t="n"/>
      <c r="M3" s="4" t="n"/>
      <c r="N3" s="4" t="n"/>
      <c r="O3" s="4" t="n"/>
      <c r="P3" s="4" t="n"/>
      <c r="Q3" s="4" t="n"/>
    </row>
    <row hidden="false" ht="15.75" outlineLevel="0" r="4">
      <c r="K4" s="101" t="s">
        <v>226</v>
      </c>
      <c r="L4" s="101" t="s"/>
      <c r="M4" s="101" t="s"/>
      <c r="N4" s="101" t="s"/>
      <c r="O4" s="101" t="s"/>
      <c r="P4" s="101" t="s"/>
      <c r="Q4" s="101" t="s"/>
    </row>
    <row hidden="false" ht="15.75" outlineLevel="0" r="5">
      <c r="K5" s="105" t="s">
        <v>178</v>
      </c>
      <c r="L5" s="105" t="n"/>
      <c r="M5" s="4" t="n"/>
      <c r="N5" s="4" t="n"/>
      <c r="O5" s="4" t="n"/>
      <c r="P5" s="4" t="n"/>
      <c r="Q5" s="4" t="n"/>
    </row>
    <row customHeight="true" hidden="false" ht="45.75" outlineLevel="0" r="6">
      <c r="B6" s="403" t="s">
        <v>252</v>
      </c>
      <c r="C6" s="403" t="s"/>
      <c r="D6" s="403" t="s"/>
      <c r="E6" s="403" t="s"/>
      <c r="F6" s="403" t="s"/>
      <c r="G6" s="403" t="s"/>
      <c r="H6" s="403" t="s"/>
      <c r="I6" s="403" t="s"/>
      <c r="J6" s="403" t="s"/>
      <c r="K6" s="403" t="s"/>
      <c r="L6" s="403" t="s"/>
      <c r="M6" s="403" t="s"/>
      <c r="N6" s="403" t="s"/>
    </row>
    <row customHeight="true" hidden="false" ht="12.75" outlineLevel="0" r="7">
      <c r="C7" s="842" t="n"/>
      <c r="D7" s="842" t="n"/>
      <c r="E7" s="842" t="n"/>
      <c r="F7" s="842" t="n"/>
      <c r="G7" s="842" t="n"/>
      <c r="H7" s="842" t="n"/>
      <c r="I7" s="842" t="n"/>
      <c r="J7" s="842" t="n"/>
      <c r="K7" s="842" t="n"/>
      <c r="L7" s="842" t="n"/>
      <c r="M7" s="842" t="n"/>
      <c r="N7" s="842" t="n"/>
    </row>
    <row customHeight="true" hidden="false" ht="12.75" outlineLevel="0" r="8">
      <c r="A8" s="4" t="n"/>
      <c r="B8" s="101" t="s">
        <v>232</v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</row>
    <row customHeight="true" hidden="false" ht="130.5" outlineLevel="0" r="9">
      <c r="A9" s="124" t="n"/>
      <c r="B9" s="129" t="s">
        <v>184</v>
      </c>
      <c r="C9" s="843" t="s"/>
      <c r="D9" s="129" t="s">
        <v>233</v>
      </c>
      <c r="E9" s="844" t="s"/>
      <c r="F9" s="845" t="s"/>
      <c r="G9" s="129" t="s">
        <v>186</v>
      </c>
      <c r="H9" s="850" t="s"/>
      <c r="I9" s="129" t="s">
        <v>187</v>
      </c>
      <c r="J9" s="854" t="s"/>
      <c r="K9" s="855" t="s"/>
      <c r="L9" s="129" t="s">
        <v>188</v>
      </c>
      <c r="M9" s="857" t="s"/>
      <c r="N9" s="858" t="s"/>
    </row>
    <row customHeight="true" hidden="false" ht="15.75" outlineLevel="0" r="10">
      <c r="A10" s="17" t="n">
        <v>1</v>
      </c>
      <c r="B10" s="32" t="s">
        <v>253</v>
      </c>
      <c r="C10" s="859" t="s"/>
      <c r="D10" s="225" t="n">
        <f aca="false" ca="false" dt2D="false" dtr="false" t="normal">67732.5*1.302</f>
        <v>88187.715</v>
      </c>
      <c r="E10" s="863" t="s"/>
      <c r="F10" s="865" t="s"/>
      <c r="G10" s="95" t="n">
        <v>9600</v>
      </c>
      <c r="H10" s="870" t="s"/>
      <c r="I10" s="153" t="n">
        <f aca="false" ca="false" dt2D="false" dtr="false" t="normal">SUM(60*11.6)</f>
        <v>696</v>
      </c>
      <c r="J10" s="871" t="s"/>
      <c r="K10" s="872" t="s"/>
      <c r="L10" s="106" t="n">
        <f aca="false" ca="false" dt2D="false" dtr="false" t="normal">D10/G10*I10</f>
        <v>6393.6093375</v>
      </c>
      <c r="M10" s="873" t="s"/>
      <c r="N10" s="874" t="s"/>
      <c r="R10" s="93" t="n">
        <f aca="false" ca="false" dt2D="false" dtr="false" t="normal">SUM(I10/60)</f>
        <v>11.6</v>
      </c>
    </row>
    <row customHeight="true" hidden="false" ht="15.75" outlineLevel="0" r="11">
      <c r="A11" s="17" t="n">
        <v>2</v>
      </c>
      <c r="B11" s="32" t="s">
        <v>254</v>
      </c>
      <c r="C11" s="883" t="s"/>
      <c r="D11" s="225" t="n">
        <f aca="false" ca="false" dt2D="false" dtr="false" t="normal">68227*1.302</f>
        <v>88831.554</v>
      </c>
      <c r="E11" s="884" t="s"/>
      <c r="F11" s="886" t="s"/>
      <c r="G11" s="95" t="n">
        <v>9600</v>
      </c>
      <c r="H11" s="890" t="s"/>
      <c r="I11" s="153" t="n">
        <f aca="false" ca="false" dt2D="false" dtr="false" t="normal">SUM(60*11)</f>
        <v>660</v>
      </c>
      <c r="J11" s="895" t="s"/>
      <c r="K11" s="896" t="s"/>
      <c r="L11" s="106" t="n">
        <f aca="false" ca="false" dt2D="false" dtr="false" t="normal">D11/G11*I11</f>
        <v>6107.1693375</v>
      </c>
      <c r="M11" s="897" t="s"/>
      <c r="N11" s="898" t="s"/>
    </row>
    <row customHeight="true" hidden="false" ht="15.75" outlineLevel="0" r="12">
      <c r="A12" s="17" t="n"/>
      <c r="B12" s="32" t="s">
        <v>183</v>
      </c>
      <c r="C12" s="904" t="s"/>
      <c r="D12" s="225" t="n">
        <f aca="false" ca="false" dt2D="false" dtr="false" t="normal">SUM(D10:F11)</f>
        <v>177019.269</v>
      </c>
      <c r="E12" s="908" t="s"/>
      <c r="F12" s="909" t="s"/>
      <c r="G12" s="381" t="n">
        <f aca="false" ca="false" dt2D="false" dtr="false" t="normal">SUM(G10:H11)</f>
        <v>19200</v>
      </c>
      <c r="H12" s="910" t="s"/>
      <c r="I12" s="381" t="n">
        <f aca="false" ca="false" dt2D="false" dtr="false" t="normal">SUM(I10:K11)</f>
        <v>1356</v>
      </c>
      <c r="J12" s="911" t="s"/>
      <c r="K12" s="912" t="s"/>
      <c r="L12" s="250" t="n">
        <f aca="false" ca="false" dt2D="false" dtr="false" t="normal">SUM(L10:N11)</f>
        <v>12500.778675000001</v>
      </c>
      <c r="M12" s="918" t="s"/>
      <c r="N12" s="920" t="s"/>
    </row>
    <row customHeight="true" hidden="false" ht="12.75" outlineLevel="0" r="13">
      <c r="A13" s="3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</row>
    <row customHeight="true" hidden="false" ht="12.75" outlineLevel="0" r="14">
      <c r="A14" s="4" t="n"/>
      <c r="B14" s="444" t="s">
        <v>198</v>
      </c>
      <c r="C14" s="924" t="s"/>
      <c r="D14" s="926" t="s"/>
      <c r="E14" s="928" t="s"/>
      <c r="F14" s="930" t="s"/>
      <c r="G14" s="119" t="n"/>
      <c r="H14" s="119" t="n"/>
      <c r="I14" s="119" t="n"/>
      <c r="J14" s="119" t="s"/>
      <c r="K14" s="119" t="s"/>
      <c r="L14" s="352" t="n"/>
      <c r="M14" s="935" t="s"/>
      <c r="N14" s="936" t="s"/>
    </row>
    <row customHeight="true" hidden="false" ht="71.25" outlineLevel="0" r="15">
      <c r="A15" s="196" t="n"/>
      <c r="B15" s="129" t="s">
        <v>200</v>
      </c>
      <c r="C15" s="937" t="s"/>
      <c r="D15" s="129" t="s">
        <v>201</v>
      </c>
      <c r="E15" s="938" t="s"/>
      <c r="F15" s="939" t="s"/>
      <c r="G15" s="129" t="s">
        <v>202</v>
      </c>
      <c r="H15" s="942" t="s"/>
      <c r="I15" s="129" t="s">
        <v>203</v>
      </c>
      <c r="J15" s="947" t="s"/>
      <c r="K15" s="949" t="s"/>
      <c r="L15" s="129" t="s">
        <v>204</v>
      </c>
      <c r="M15" s="951" t="s"/>
      <c r="N15" s="952" t="s"/>
    </row>
    <row customHeight="true" hidden="false" ht="15.75" outlineLevel="0" r="16">
      <c r="A16" s="17" t="n">
        <v>1</v>
      </c>
      <c r="B16" s="32" t="s">
        <v>205</v>
      </c>
      <c r="C16" s="953" t="s"/>
      <c r="D16" s="95" t="s">
        <v>207</v>
      </c>
      <c r="E16" s="954" t="s"/>
      <c r="F16" s="955" t="s"/>
      <c r="G16" s="95" t="n">
        <v>5</v>
      </c>
      <c r="H16" s="956" t="s"/>
      <c r="I16" s="95" t="n">
        <f aca="false" ca="false" dt2D="false" dtr="false" t="normal">587/500</f>
        <v>1.174</v>
      </c>
      <c r="J16" s="957" t="s"/>
      <c r="K16" s="958" t="s"/>
      <c r="L16" s="95" t="n">
        <f aca="false" ca="false" dt2D="false" dtr="false" t="normal">G16*I16</f>
        <v>5.869999999999999</v>
      </c>
      <c r="M16" s="959" t="s"/>
      <c r="N16" s="960" t="s"/>
      <c r="O16" s="93" t="n"/>
    </row>
    <row customHeight="true" hidden="false" ht="15.75" outlineLevel="0" r="17">
      <c r="A17" s="17" t="n">
        <v>2</v>
      </c>
      <c r="B17" s="32" t="s">
        <v>209</v>
      </c>
      <c r="C17" s="961" t="s"/>
      <c r="D17" s="95" t="s">
        <v>210</v>
      </c>
      <c r="E17" s="962" t="s"/>
      <c r="F17" s="963" t="s"/>
      <c r="G17" s="95" t="n">
        <v>0.078</v>
      </c>
      <c r="H17" s="964" t="s"/>
      <c r="I17" s="95" t="n">
        <v>1250</v>
      </c>
      <c r="J17" s="965" t="s"/>
      <c r="K17" s="966" t="s"/>
      <c r="L17" s="95" t="n">
        <f aca="false" ca="false" dt2D="false" dtr="false" t="normal">G17*I17</f>
        <v>97.5</v>
      </c>
      <c r="M17" s="975" t="s"/>
      <c r="N17" s="976" t="s"/>
      <c r="S17" s="511" t="n"/>
    </row>
    <row customHeight="true" hidden="false" ht="18.75" outlineLevel="0" r="18">
      <c r="A18" s="124" t="n"/>
      <c r="B18" s="95" t="n"/>
      <c r="C18" s="977" t="s"/>
      <c r="D18" s="95" t="n"/>
      <c r="E18" s="978" t="s"/>
      <c r="F18" s="979" t="s"/>
      <c r="G18" s="95" t="n"/>
      <c r="H18" s="980" t="s"/>
      <c r="I18" s="95" t="n"/>
      <c r="J18" s="983" t="s"/>
      <c r="K18" s="985" t="s"/>
      <c r="L18" s="136" t="n">
        <f aca="false" ca="false" dt2D="false" dtr="false" t="normal">SUM(L16:N17)</f>
        <v>103.37</v>
      </c>
      <c r="M18" s="991" t="s"/>
      <c r="N18" s="992" t="s"/>
    </row>
    <row hidden="false" ht="15.75" outlineLevel="0" r="19">
      <c r="A19" s="4" t="n"/>
      <c r="B19" s="119" t="n"/>
      <c r="C19" s="119" t="n"/>
      <c r="D19" s="119" t="n"/>
      <c r="E19" s="119" t="n"/>
      <c r="F19" s="119" t="n"/>
      <c r="G19" s="119" t="n"/>
      <c r="H19" s="119" t="n"/>
      <c r="I19" s="119" t="n"/>
      <c r="J19" s="119" t="n"/>
      <c r="K19" s="119" t="n"/>
      <c r="L19" s="253" t="n"/>
      <c r="M19" s="253" t="n"/>
      <c r="N19" s="253" t="n"/>
    </row>
    <row hidden="false" ht="15.75" outlineLevel="0" r="20">
      <c r="A20" s="4" t="n"/>
      <c r="B20" s="105" t="s">
        <v>212</v>
      </c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</row>
    <row customHeight="true" hidden="false" ht="102.75" outlineLevel="0" r="21">
      <c r="A21" s="124" t="n"/>
      <c r="B21" s="129" t="s">
        <v>213</v>
      </c>
      <c r="C21" s="1009" t="s"/>
      <c r="D21" s="129" t="s">
        <v>214</v>
      </c>
      <c r="E21" s="1010" t="s"/>
      <c r="F21" s="1011" t="s"/>
      <c r="G21" s="259" t="s">
        <v>215</v>
      </c>
      <c r="H21" s="169" t="s">
        <v>216</v>
      </c>
      <c r="I21" s="1012" t="s"/>
      <c r="J21" s="129" t="s">
        <v>217</v>
      </c>
      <c r="K21" s="1013" t="s"/>
      <c r="L21" s="1014" t="s"/>
      <c r="M21" s="129" t="s">
        <v>218</v>
      </c>
      <c r="N21" s="1015" t="s"/>
    </row>
    <row customHeight="true" hidden="false" ht="15.75" outlineLevel="0" r="22">
      <c r="A22" s="17" t="n">
        <v>1</v>
      </c>
      <c r="B22" s="32" t="s">
        <v>173</v>
      </c>
      <c r="C22" s="1024" t="s"/>
      <c r="D22" s="95" t="n">
        <v>70000</v>
      </c>
      <c r="E22" s="1025" t="s"/>
      <c r="F22" s="1026" t="s"/>
      <c r="G22" s="98" t="n">
        <v>0.3</v>
      </c>
      <c r="H22" s="99" t="s">
        <v>174</v>
      </c>
      <c r="I22" s="1027" t="s"/>
      <c r="J22" s="95" t="n">
        <v>11</v>
      </c>
      <c r="K22" s="1028" t="s"/>
      <c r="L22" s="1029" t="s"/>
      <c r="M22" s="106" t="n">
        <f aca="false" ca="false" dt2D="false" dtr="false" t="normal">D22*G22/H22*J22</f>
        <v>144.375</v>
      </c>
      <c r="N22" s="1030" t="s"/>
    </row>
    <row customHeight="true" hidden="false" ht="15.75" outlineLevel="0" r="23">
      <c r="A23" s="17" t="n">
        <v>2</v>
      </c>
      <c r="B23" s="32" t="s">
        <v>179</v>
      </c>
      <c r="C23" s="1039" t="s"/>
      <c r="D23" s="95" t="n">
        <v>17856</v>
      </c>
      <c r="E23" s="1040" t="s"/>
      <c r="F23" s="1041" t="s"/>
      <c r="G23" s="98" t="n">
        <v>0.3</v>
      </c>
      <c r="H23" s="99" t="s">
        <v>174</v>
      </c>
      <c r="I23" s="1042" t="s"/>
      <c r="J23" s="95" t="n">
        <v>0.3</v>
      </c>
      <c r="K23" s="1043" t="s"/>
      <c r="L23" s="1044" t="s"/>
      <c r="M23" s="106" t="n">
        <f aca="false" ca="false" dt2D="false" dtr="false" t="normal">D23*G23/H23*J23</f>
        <v>1.0044</v>
      </c>
      <c r="N23" s="1045" t="s"/>
    </row>
    <row customHeight="true" hidden="false" ht="15.75" outlineLevel="0" r="24">
      <c r="A24" s="17" t="n">
        <v>3</v>
      </c>
      <c r="B24" s="32" t="s">
        <v>256</v>
      </c>
      <c r="C24" s="1046" t="s"/>
      <c r="D24" s="95" t="n">
        <v>500000</v>
      </c>
      <c r="E24" s="1049" t="s"/>
      <c r="F24" s="1051" t="s"/>
      <c r="G24" s="98" t="n">
        <v>0.3</v>
      </c>
      <c r="H24" s="99" t="s">
        <v>174</v>
      </c>
      <c r="I24" s="1057" t="s"/>
      <c r="J24" s="95" t="n">
        <v>11</v>
      </c>
      <c r="K24" s="1058" t="s"/>
      <c r="L24" s="1059" t="s"/>
      <c r="M24" s="106" t="n">
        <f aca="false" ca="false" dt2D="false" dtr="false" t="normal">D24*G24/H24*J24</f>
        <v>1031.25</v>
      </c>
      <c r="N24" s="1060" t="s"/>
    </row>
    <row customHeight="true" hidden="false" ht="12.75" outlineLevel="0" r="25">
      <c r="A25" s="124" t="n"/>
      <c r="B25" s="95" t="n"/>
      <c r="C25" s="1061" t="s"/>
      <c r="D25" s="95" t="n"/>
      <c r="E25" s="1062" t="s"/>
      <c r="F25" s="1063" t="s"/>
      <c r="G25" s="98" t="n"/>
      <c r="H25" s="99" t="n"/>
      <c r="I25" s="1064" t="s"/>
      <c r="J25" s="95" t="n"/>
      <c r="K25" s="1065" t="s"/>
      <c r="L25" s="1066" t="s"/>
      <c r="M25" s="136" t="n">
        <f aca="false" ca="false" dt2D="false" dtr="false" t="normal">SUM(M22:N24)</f>
        <v>1176.6294</v>
      </c>
      <c r="N25" s="1067" t="s"/>
    </row>
    <row hidden="false" ht="15.75" outlineLevel="0" r="26">
      <c r="A26" s="4" t="n"/>
      <c r="B26" s="4" t="n"/>
      <c r="C26" s="4" t="n"/>
      <c r="D26" s="4" t="n"/>
      <c r="E26" s="4" t="n"/>
      <c r="F26" s="4" t="n"/>
      <c r="G26" s="4" t="n"/>
      <c r="H26" s="4" t="n"/>
      <c r="I26" s="558" t="n"/>
      <c r="J26" s="119" t="n"/>
      <c r="K26" s="119" t="n"/>
      <c r="L26" s="4" t="n"/>
      <c r="M26" s="4" t="n"/>
      <c r="N26" s="4" t="n"/>
    </row>
    <row customFormat="true" customHeight="true" hidden="false" ht="12.75" outlineLevel="0" r="27" s="93">
      <c r="A27" s="4" t="n"/>
      <c r="B27" s="101" t="s">
        <v>219</v>
      </c>
      <c r="C27" s="119" t="n"/>
      <c r="D27" s="119" t="n"/>
      <c r="E27" s="119" t="n"/>
      <c r="F27" s="119" t="n"/>
      <c r="G27" s="119" t="n"/>
      <c r="H27" s="119" t="n"/>
      <c r="I27" s="119" t="n"/>
      <c r="J27" s="4" t="n"/>
      <c r="K27" s="4" t="n"/>
      <c r="L27" s="4" t="n"/>
      <c r="M27" s="4" t="n"/>
      <c r="N27" s="4" t="n"/>
    </row>
    <row customFormat="true" customHeight="true" hidden="false" ht="12.75" outlineLevel="0" r="28" s="93">
      <c r="A28" s="20" t="n"/>
      <c r="B28" s="266" t="s">
        <v>220</v>
      </c>
      <c r="C28" s="1073" t="s"/>
      <c r="D28" s="1074" t="s"/>
      <c r="E28" s="1075" t="s"/>
      <c r="F28" s="1076" t="s"/>
      <c r="G28" s="1077" t="s"/>
      <c r="H28" s="1078" t="s"/>
      <c r="I28" s="1079" t="s"/>
      <c r="J28" s="1080" t="s"/>
      <c r="K28" s="275" t="s">
        <v>221</v>
      </c>
      <c r="L28" s="4" t="n"/>
      <c r="M28" s="4" t="n"/>
      <c r="N28" s="4" t="n"/>
    </row>
    <row customFormat="true" customHeight="true" hidden="false" ht="41.25" outlineLevel="0" r="29" s="93">
      <c r="A29" s="17" t="n">
        <v>1</v>
      </c>
      <c r="B29" s="276" t="s">
        <v>222</v>
      </c>
      <c r="C29" s="1081" t="s"/>
      <c r="D29" s="1084" t="s"/>
      <c r="E29" s="1086" t="s"/>
      <c r="F29" s="1088" t="s"/>
      <c r="G29" s="1090" t="s"/>
      <c r="H29" s="1092" t="s"/>
      <c r="I29" s="1094" t="s"/>
      <c r="J29" s="1096" t="s"/>
      <c r="K29" s="285" t="n">
        <f aca="false" ca="false" dt2D="false" dtr="false" t="normal">SUM(K30:K31)</f>
        <v>102242.06617322018</v>
      </c>
      <c r="L29" s="4" t="n"/>
      <c r="M29" s="4" t="n"/>
      <c r="N29" s="4" t="n"/>
    </row>
    <row customFormat="true" customHeight="true" hidden="false" ht="42.75" outlineLevel="0" r="30" s="93">
      <c r="A30" s="17" t="n"/>
      <c r="B30" s="144" t="s">
        <v>223</v>
      </c>
      <c r="C30" s="1082" t="s"/>
      <c r="D30" s="1083" t="s"/>
      <c r="E30" s="1085" t="s"/>
      <c r="F30" s="1087" t="s"/>
      <c r="G30" s="1089" t="s"/>
      <c r="H30" s="1091" t="s"/>
      <c r="I30" s="1093" t="s"/>
      <c r="J30" s="1095" t="s"/>
      <c r="K30" s="285" t="n">
        <f aca="false" ca="false" dt2D="false" dtr="false" t="normal">(15990207-D12)*1.302/218</f>
        <v>94443.90103560551</v>
      </c>
      <c r="L30" s="4" t="n"/>
      <c r="M30" s="4" t="n"/>
      <c r="N30" s="4" t="n"/>
    </row>
    <row customFormat="true" customHeight="true" hidden="false" ht="12.75" outlineLevel="0" r="31" s="93">
      <c r="A31" s="17" t="n"/>
      <c r="B31" s="144" t="s">
        <v>224</v>
      </c>
      <c r="C31" s="1097" t="s"/>
      <c r="D31" s="1098" t="s"/>
      <c r="E31" s="1099" t="s"/>
      <c r="F31" s="1100" t="s"/>
      <c r="G31" s="1101" t="s"/>
      <c r="H31" s="1102" t="s"/>
      <c r="I31" s="1103" t="s"/>
      <c r="J31" s="1104" t="s"/>
      <c r="K31" s="285" t="n">
        <f aca="false" ca="false" dt2D="false" dtr="false" t="normal">(200000+1500000)/218</f>
        <v>7798.165137614679</v>
      </c>
      <c r="L31" s="4" t="n"/>
      <c r="M31" s="4" t="n"/>
      <c r="N31" s="4" t="n"/>
    </row>
    <row customFormat="true" customHeight="true" hidden="false" ht="34.5" outlineLevel="0" r="32" s="93">
      <c r="A32" s="17" t="n">
        <v>2</v>
      </c>
      <c r="B32" s="144" t="s">
        <v>225</v>
      </c>
      <c r="C32" s="834" t="s"/>
      <c r="D32" s="835" t="s"/>
      <c r="E32" s="836" t="s"/>
      <c r="F32" s="837" t="s"/>
      <c r="G32" s="838" t="s"/>
      <c r="H32" s="839" t="s"/>
      <c r="I32" s="840" t="s"/>
      <c r="J32" s="841" t="s"/>
      <c r="K32" s="285" t="n">
        <f aca="false" ca="false" dt2D="false" dtr="false" t="normal">SUM(K33:K34)</f>
        <v>68104.96788990825</v>
      </c>
      <c r="L32" s="4" t="n"/>
      <c r="M32" s="4" t="n"/>
      <c r="N32" s="4" t="n"/>
    </row>
    <row customFormat="true" customHeight="true" hidden="false" ht="16.5" outlineLevel="0" r="33" s="93">
      <c r="A33" s="17" t="n"/>
      <c r="B33" s="310" t="s">
        <v>227</v>
      </c>
      <c r="C33" s="846" t="s"/>
      <c r="D33" s="847" t="s"/>
      <c r="E33" s="848" t="s"/>
      <c r="F33" s="849" t="s"/>
      <c r="G33" s="851" t="s"/>
      <c r="H33" s="852" t="s"/>
      <c r="I33" s="853" t="s"/>
      <c r="J33" s="856" t="s"/>
      <c r="K33" s="285" t="n">
        <f aca="false" ca="false" dt2D="false" dtr="false" t="normal">2000000/218</f>
        <v>9174.311926605504</v>
      </c>
      <c r="L33" s="4" t="n"/>
      <c r="M33" s="4" t="n"/>
      <c r="N33" s="4" t="n"/>
    </row>
    <row customFormat="true" customHeight="true" hidden="false" ht="15" outlineLevel="0" r="34" s="93">
      <c r="A34" s="17" t="n"/>
      <c r="B34" s="310" t="s">
        <v>228</v>
      </c>
      <c r="C34" s="860" t="s"/>
      <c r="D34" s="861" t="s"/>
      <c r="E34" s="862" t="s"/>
      <c r="F34" s="864" t="s"/>
      <c r="G34" s="866" t="s"/>
      <c r="H34" s="867" t="s"/>
      <c r="I34" s="868" t="s"/>
      <c r="J34" s="869" t="s"/>
      <c r="K34" s="285" t="n">
        <f aca="false" ca="false" dt2D="false" dtr="false" t="normal">(8246883+3800000+800000)/218</f>
        <v>58930.65596330275</v>
      </c>
      <c r="L34" s="4" t="n"/>
      <c r="M34" s="4" t="n"/>
      <c r="N34" s="4" t="n"/>
    </row>
    <row customFormat="true" customHeight="true" hidden="false" ht="16.5" outlineLevel="0" r="35" s="93">
      <c r="A35" s="17" t="n">
        <v>3</v>
      </c>
      <c r="B35" s="144" t="s">
        <v>230</v>
      </c>
      <c r="C35" s="875" t="s"/>
      <c r="D35" s="876" t="s"/>
      <c r="E35" s="877" t="s"/>
      <c r="F35" s="878" t="s"/>
      <c r="G35" s="879" t="s"/>
      <c r="H35" s="880" t="s"/>
      <c r="I35" s="881" t="s"/>
      <c r="J35" s="882" t="s"/>
      <c r="K35" s="285" t="n">
        <f aca="false" ca="false" dt2D="false" dtr="false" t="normal">M25</f>
        <v>1176.6294</v>
      </c>
      <c r="L35" s="4" t="n"/>
      <c r="M35" s="4" t="n"/>
      <c r="N35" s="4" t="n"/>
    </row>
    <row customFormat="true" customHeight="true" hidden="false" ht="15.75" outlineLevel="0" r="36" s="93">
      <c r="A36" s="17" t="n"/>
      <c r="B36" s="276" t="s">
        <v>183</v>
      </c>
      <c r="C36" s="885" t="s"/>
      <c r="D36" s="887" t="s"/>
      <c r="E36" s="888" t="s"/>
      <c r="F36" s="889" t="s"/>
      <c r="G36" s="891" t="s"/>
      <c r="H36" s="892" t="s"/>
      <c r="I36" s="893" t="s"/>
      <c r="J36" s="894" t="s"/>
      <c r="K36" s="285" t="n">
        <f aca="false" ca="false" dt2D="false" dtr="false" t="normal">K32+K35</f>
        <v>69281.59728990826</v>
      </c>
      <c r="L36" s="4" t="n"/>
      <c r="M36" s="4" t="n"/>
      <c r="N36" s="4" t="n"/>
    </row>
    <row customFormat="true" customHeight="true" hidden="false" ht="15.75" outlineLevel="0" r="37" s="93">
      <c r="A37" s="17" t="n">
        <v>4</v>
      </c>
      <c r="B37" s="144" t="s">
        <v>231</v>
      </c>
      <c r="C37" s="899" t="s"/>
      <c r="D37" s="900" t="s"/>
      <c r="E37" s="901" t="s"/>
      <c r="F37" s="902" t="s"/>
      <c r="G37" s="903" t="s"/>
      <c r="H37" s="905" t="s"/>
      <c r="I37" s="906" t="s"/>
      <c r="J37" s="907" t="s"/>
      <c r="K37" s="285" t="n">
        <f aca="false" ca="false" dt2D="false" dtr="false" t="normal">SUM(D12)</f>
        <v>177019.269</v>
      </c>
      <c r="L37" s="4" t="n"/>
      <c r="M37" s="4" t="n"/>
      <c r="N37" s="4" t="n"/>
    </row>
    <row customFormat="true" customHeight="true" hidden="false" ht="15.75" outlineLevel="0" r="38" s="93">
      <c r="A38" s="17" t="n">
        <v>5</v>
      </c>
      <c r="B38" s="276" t="s">
        <v>234</v>
      </c>
      <c r="C38" s="913" t="s"/>
      <c r="D38" s="914" t="s"/>
      <c r="E38" s="915" t="s"/>
      <c r="F38" s="916" t="s"/>
      <c r="G38" s="917" t="s"/>
      <c r="H38" s="919" t="s"/>
      <c r="I38" s="921" t="s"/>
      <c r="J38" s="922" t="s"/>
      <c r="K38" s="285" t="n">
        <f aca="false" ca="false" dt2D="false" dtr="false" t="normal">(K29+K32+K35)/K37</f>
        <v>0.9689547608691597</v>
      </c>
      <c r="L38" s="4" t="n"/>
      <c r="M38" s="4" t="n"/>
      <c r="N38" s="4" t="n"/>
    </row>
    <row customFormat="true" customHeight="true" hidden="false" ht="30.75" outlineLevel="0" r="39" s="93">
      <c r="A39" s="17" t="n">
        <f aca="false" ca="false" dt2D="false" dtr="false" t="normal">SUM(A38+1)</f>
        <v>6</v>
      </c>
      <c r="B39" s="144" t="s">
        <v>235</v>
      </c>
      <c r="C39" s="923" t="s"/>
      <c r="D39" s="925" t="s"/>
      <c r="E39" s="927" t="s"/>
      <c r="F39" s="929" t="s"/>
      <c r="G39" s="931" t="s"/>
      <c r="H39" s="932" t="s"/>
      <c r="I39" s="933" t="s"/>
      <c r="J39" s="934" t="s"/>
      <c r="K39" s="285" t="n">
        <f aca="false" ca="false" dt2D="false" dtr="false" t="normal">L12</f>
        <v>12500.778675000001</v>
      </c>
      <c r="L39" s="4" t="n"/>
      <c r="M39" s="4" t="n"/>
      <c r="N39" s="4" t="n"/>
    </row>
    <row customHeight="true" hidden="false" ht="15.75" outlineLevel="0" r="40">
      <c r="A40" s="17" t="n"/>
      <c r="B40" s="276" t="s">
        <v>236</v>
      </c>
      <c r="C40" s="940" t="s"/>
      <c r="D40" s="941" t="s"/>
      <c r="E40" s="943" t="s"/>
      <c r="F40" s="944" t="s"/>
      <c r="G40" s="945" t="s"/>
      <c r="H40" s="946" t="s"/>
      <c r="I40" s="948" t="s"/>
      <c r="J40" s="950" t="s"/>
      <c r="K40" s="395" t="n">
        <f aca="false" ca="false" dt2D="false" dtr="false" t="normal">SUM(K39*K38)</f>
        <v>12112.689011712917</v>
      </c>
      <c r="L40" s="4" t="n"/>
      <c r="M40" s="4" t="n"/>
      <c r="N40" s="4" t="n"/>
    </row>
    <row hidden="false" ht="15.75" outlineLevel="0"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</row>
    <row customHeight="true" hidden="false" ht="54.75" outlineLevel="0" r="42">
      <c r="A42" s="403" t="s">
        <v>255</v>
      </c>
      <c r="B42" s="403" t="s"/>
      <c r="C42" s="403" t="s"/>
      <c r="D42" s="403" t="s"/>
      <c r="E42" s="403" t="s"/>
      <c r="F42" s="403" t="s"/>
      <c r="G42" s="403" t="s"/>
      <c r="H42" s="403" t="s"/>
      <c r="I42" s="403" t="s"/>
      <c r="J42" s="403" t="s"/>
      <c r="K42" s="403" t="s"/>
      <c r="L42" s="4" t="n"/>
      <c r="M42" s="4" t="n"/>
      <c r="N42" s="4" t="n"/>
    </row>
    <row customHeight="true" hidden="false" ht="31.5" outlineLevel="0" r="43">
      <c r="A43" s="169" t="s">
        <v>239</v>
      </c>
      <c r="B43" s="169" t="s">
        <v>240</v>
      </c>
      <c r="C43" s="967" t="s"/>
      <c r="D43" s="968" t="s"/>
      <c r="E43" s="969" t="s"/>
      <c r="F43" s="970" t="s"/>
      <c r="G43" s="971" t="s"/>
      <c r="H43" s="972" t="s"/>
      <c r="I43" s="973" t="s"/>
      <c r="J43" s="974" t="s"/>
      <c r="K43" s="417" t="s">
        <v>241</v>
      </c>
      <c r="L43" s="4" t="n"/>
      <c r="M43" s="4" t="n"/>
      <c r="N43" s="4" t="n"/>
    </row>
    <row customHeight="true" hidden="false" ht="22.5" outlineLevel="0" r="44">
      <c r="A44" s="67" t="n">
        <v>1</v>
      </c>
      <c r="B44" s="177" t="s">
        <v>242</v>
      </c>
      <c r="C44" s="981" t="s"/>
      <c r="D44" s="982" t="s"/>
      <c r="E44" s="984" t="s"/>
      <c r="F44" s="986" t="s"/>
      <c r="G44" s="987" t="s"/>
      <c r="H44" s="988" t="s"/>
      <c r="I44" s="989" t="s"/>
      <c r="J44" s="990" t="s"/>
      <c r="K44" s="567" t="n">
        <f aca="false" ca="false" dt2D="false" dtr="false" t="normal">SUM(L12)</f>
        <v>12500.778675000001</v>
      </c>
      <c r="L44" s="4" t="n"/>
      <c r="M44" s="4" t="n"/>
      <c r="N44" s="4" t="n"/>
    </row>
    <row customHeight="true" hidden="false" ht="25.5" outlineLevel="0" r="45">
      <c r="A45" s="67" t="n">
        <v>2</v>
      </c>
      <c r="B45" s="189" t="s">
        <v>243</v>
      </c>
      <c r="C45" s="993" t="s"/>
      <c r="D45" s="994" t="s"/>
      <c r="E45" s="995" t="s"/>
      <c r="F45" s="996" t="s"/>
      <c r="G45" s="997" t="s"/>
      <c r="H45" s="998" t="s"/>
      <c r="I45" s="999" t="s"/>
      <c r="J45" s="1000" t="s"/>
      <c r="K45" s="567" t="n">
        <f aca="false" ca="false" dt2D="false" dtr="false" t="normal">SUM(L18)</f>
        <v>103.37</v>
      </c>
      <c r="L45" s="4" t="n"/>
      <c r="M45" s="4" t="n"/>
      <c r="N45" s="4" t="n"/>
    </row>
    <row customHeight="true" hidden="false" ht="27.75" outlineLevel="0" r="46">
      <c r="A46" s="67" t="n">
        <v>3</v>
      </c>
      <c r="B46" s="177" t="s">
        <v>244</v>
      </c>
      <c r="C46" s="1001" t="s"/>
      <c r="D46" s="1002" t="s"/>
      <c r="E46" s="1003" t="s"/>
      <c r="F46" s="1004" t="s"/>
      <c r="G46" s="1005" t="s"/>
      <c r="H46" s="1006" t="s"/>
      <c r="I46" s="1007" t="s"/>
      <c r="J46" s="1008" t="s"/>
      <c r="K46" s="567" t="n">
        <f aca="false" ca="false" dt2D="false" dtr="false" t="normal">SUM(M25)</f>
        <v>1176.6294</v>
      </c>
      <c r="L46" s="4" t="n"/>
      <c r="M46" s="4" t="n"/>
      <c r="N46" s="4" t="n"/>
    </row>
    <row customHeight="true" hidden="false" ht="15.75" outlineLevel="0" r="47">
      <c r="A47" s="67" t="n">
        <v>4</v>
      </c>
      <c r="B47" s="177" t="s">
        <v>245</v>
      </c>
      <c r="C47" s="1016" t="s"/>
      <c r="D47" s="1017" t="s"/>
      <c r="E47" s="1018" t="s"/>
      <c r="F47" s="1019" t="s"/>
      <c r="G47" s="1020" t="s"/>
      <c r="H47" s="1021" t="s"/>
      <c r="I47" s="1022" t="s"/>
      <c r="J47" s="1023" t="s"/>
      <c r="K47" s="567" t="n">
        <f aca="false" ca="false" dt2D="false" dtr="false" t="normal">SUM(K40)</f>
        <v>12112.689011712917</v>
      </c>
      <c r="L47" s="4" t="n"/>
      <c r="M47" s="4" t="n"/>
      <c r="N47" s="4" t="n"/>
    </row>
    <row customHeight="true" hidden="false" ht="15.75" outlineLevel="0" r="48">
      <c r="A48" s="67" t="n">
        <v>5</v>
      </c>
      <c r="B48" s="189" t="s">
        <v>247</v>
      </c>
      <c r="C48" s="1031" t="s"/>
      <c r="D48" s="1032" t="s"/>
      <c r="E48" s="1033" t="s"/>
      <c r="F48" s="1034" t="s"/>
      <c r="G48" s="1035" t="s"/>
      <c r="H48" s="1036" t="s"/>
      <c r="I48" s="1037" t="s"/>
      <c r="J48" s="1038" t="s"/>
      <c r="K48" s="567" t="n">
        <f aca="false" ca="false" dt2D="false" dtr="false" t="normal">SUM(K44:K47)</f>
        <v>25893.467086712917</v>
      </c>
      <c r="L48" s="4" t="n"/>
      <c r="M48" s="4" t="n"/>
      <c r="N48" s="4" t="n"/>
    </row>
    <row hidden="false" ht="15.75" outlineLevel="0" r="49">
      <c r="A49" s="67" t="n">
        <v>6</v>
      </c>
      <c r="B49" s="492" t="s">
        <v>208</v>
      </c>
      <c r="C49" s="493" t="n"/>
      <c r="D49" s="493" t="n"/>
      <c r="E49" s="493" t="n"/>
      <c r="F49" s="493" t="n"/>
      <c r="G49" s="493" t="n"/>
      <c r="H49" s="493" t="n"/>
      <c r="I49" s="493" t="n"/>
      <c r="J49" s="494" t="n"/>
      <c r="K49" s="567" t="n">
        <f aca="false" ca="false" dt2D="false" dtr="false" t="normal">SUM(K48*0.22)</f>
        <v>5696.562759076842</v>
      </c>
      <c r="L49" s="4" t="n"/>
      <c r="M49" s="4" t="n"/>
      <c r="N49" s="4" t="n"/>
    </row>
    <row customHeight="true" hidden="false" ht="15.75" outlineLevel="0" r="50">
      <c r="A50" s="67" t="n"/>
      <c r="B50" s="177" t="s">
        <v>211</v>
      </c>
      <c r="C50" s="1047" t="s"/>
      <c r="D50" s="1048" t="s"/>
      <c r="E50" s="1050" t="s"/>
      <c r="F50" s="1052" t="s"/>
      <c r="G50" s="1053" t="s"/>
      <c r="H50" s="1054" t="s"/>
      <c r="I50" s="1055" t="s"/>
      <c r="J50" s="1056" t="s"/>
      <c r="K50" s="616" t="n">
        <f aca="false" ca="false" dt2D="false" dtr="false" t="normal">SUM(K48:K49)+10</f>
        <v>31600.02984578976</v>
      </c>
      <c r="L50" s="4" t="n"/>
      <c r="M50" s="4" t="n"/>
      <c r="N50" s="4" t="n"/>
    </row>
    <row customHeight="true" hidden="false" ht="24.75" outlineLevel="0" r="57">
      <c r="B57" s="1068" t="n"/>
      <c r="C57" s="1068" t="s"/>
      <c r="D57" s="1068" t="s"/>
      <c r="E57" s="1068" t="s"/>
      <c r="F57" s="1068" t="s"/>
      <c r="G57" s="1068" t="s"/>
      <c r="H57" s="1068" t="s"/>
      <c r="I57" s="1068" t="s"/>
      <c r="J57" s="1068" t="s"/>
      <c r="K57" s="1068" t="s"/>
    </row>
    <row customHeight="true" hidden="false" ht="24" outlineLevel="0" r="59">
      <c r="A59" s="1069" t="n"/>
      <c r="B59" s="1069" t="s"/>
      <c r="C59" s="1069" t="s"/>
      <c r="D59" s="1069" t="s"/>
      <c r="E59" s="1069" t="s"/>
      <c r="F59" s="1069" t="s"/>
      <c r="G59" s="1069" t="s"/>
      <c r="H59" s="1069" t="s"/>
      <c r="I59" s="1069" t="s"/>
      <c r="J59" s="1069" t="s"/>
      <c r="K59" s="1069" t="s"/>
    </row>
    <row hidden="false" ht="12.75" outlineLevel="0" r="60">
      <c r="A60" s="1070" t="n"/>
      <c r="B60" s="1071" t="n"/>
      <c r="C60" s="1071" t="n"/>
      <c r="D60" s="1072" t="n"/>
      <c r="E60" s="1071" t="n"/>
      <c r="F60" s="1071" t="n"/>
      <c r="G60" s="1071" t="n"/>
      <c r="H60" s="1071" t="n"/>
      <c r="I60" s="1071" t="n"/>
      <c r="J60" s="1071" t="n"/>
      <c r="K60" s="1071" t="n"/>
    </row>
    <row hidden="false" ht="12.75" outlineLevel="0" r="61">
      <c r="A61" s="1070" t="n"/>
      <c r="B61" s="1071" t="n"/>
      <c r="C61" s="1071" t="n"/>
      <c r="D61" s="1072" t="n"/>
      <c r="E61" s="1071" t="n"/>
      <c r="F61" s="1071" t="n"/>
      <c r="G61" s="1071" t="n"/>
      <c r="H61" s="1071" t="n"/>
      <c r="I61" s="1071" t="n"/>
      <c r="J61" s="1071" t="n"/>
      <c r="K61" s="1071" t="n"/>
    </row>
    <row customHeight="true" hidden="false" ht="24.75" outlineLevel="0" r="62">
      <c r="A62" s="1069" t="n"/>
      <c r="B62" s="1069" t="s"/>
      <c r="C62" s="1069" t="s"/>
      <c r="D62" s="1069" t="s"/>
      <c r="E62" s="1069" t="s"/>
      <c r="F62" s="1069" t="s"/>
      <c r="G62" s="1069" t="s"/>
      <c r="H62" s="1069" t="s"/>
      <c r="I62" s="1069" t="s"/>
      <c r="J62" s="1069" t="s"/>
      <c r="K62" s="1069" t="s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94">
    <mergeCell ref="K4:Q4"/>
    <mergeCell ref="B6:N6"/>
    <mergeCell ref="L10:N10"/>
    <mergeCell ref="L9:N9"/>
    <mergeCell ref="B9:C9"/>
    <mergeCell ref="D9:F9"/>
    <mergeCell ref="G9:H9"/>
    <mergeCell ref="I9:K9"/>
    <mergeCell ref="G10:H10"/>
    <mergeCell ref="I10:K10"/>
    <mergeCell ref="D10:F10"/>
    <mergeCell ref="B10:C10"/>
    <mergeCell ref="B11:C11"/>
    <mergeCell ref="D11:F11"/>
    <mergeCell ref="B12:C12"/>
    <mergeCell ref="D12:F12"/>
    <mergeCell ref="G11:H11"/>
    <mergeCell ref="I11:K11"/>
    <mergeCell ref="L11:N11"/>
    <mergeCell ref="G12:H12"/>
    <mergeCell ref="I12:K12"/>
    <mergeCell ref="L12:N12"/>
    <mergeCell ref="B14:F14"/>
    <mergeCell ref="B15:C15"/>
    <mergeCell ref="D15:F15"/>
    <mergeCell ref="I14:K14"/>
    <mergeCell ref="L14:N14"/>
    <mergeCell ref="G15:H15"/>
    <mergeCell ref="I15:K15"/>
    <mergeCell ref="L15:N15"/>
    <mergeCell ref="B16:C16"/>
    <mergeCell ref="D16:F16"/>
    <mergeCell ref="B17:C17"/>
    <mergeCell ref="D17:F17"/>
    <mergeCell ref="G16:H16"/>
    <mergeCell ref="G17:H17"/>
    <mergeCell ref="I16:K16"/>
    <mergeCell ref="L16:N16"/>
    <mergeCell ref="I17:K17"/>
    <mergeCell ref="L17:N17"/>
    <mergeCell ref="G18:H18"/>
    <mergeCell ref="L18:N18"/>
    <mergeCell ref="I18:K18"/>
    <mergeCell ref="B18:C18"/>
    <mergeCell ref="D18:F18"/>
    <mergeCell ref="D21:F21"/>
    <mergeCell ref="B21:C21"/>
    <mergeCell ref="B22:C22"/>
    <mergeCell ref="D22:F22"/>
    <mergeCell ref="D23:F23"/>
    <mergeCell ref="B23:C23"/>
    <mergeCell ref="D24:F24"/>
    <mergeCell ref="B24:C24"/>
    <mergeCell ref="D25:F25"/>
    <mergeCell ref="B25:C25"/>
    <mergeCell ref="M21:N21"/>
    <mergeCell ref="J21:L21"/>
    <mergeCell ref="H22:I22"/>
    <mergeCell ref="H21:I21"/>
    <mergeCell ref="J22:L22"/>
    <mergeCell ref="M22:N22"/>
    <mergeCell ref="M23:N23"/>
    <mergeCell ref="M24:N24"/>
    <mergeCell ref="J23:L23"/>
    <mergeCell ref="M25:N25"/>
    <mergeCell ref="J24:L24"/>
    <mergeCell ref="J25:L25"/>
    <mergeCell ref="H23:I23"/>
    <mergeCell ref="H24:I24"/>
    <mergeCell ref="H25:I25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A42:K42"/>
    <mergeCell ref="B43:J43"/>
    <mergeCell ref="B44:J44"/>
    <mergeCell ref="B45:J45"/>
    <mergeCell ref="B46:J46"/>
    <mergeCell ref="B47:J47"/>
    <mergeCell ref="B48:J48"/>
    <mergeCell ref="B50:J50"/>
    <mergeCell ref="B57:K57"/>
    <mergeCell ref="A59:K59"/>
    <mergeCell ref="A62:K62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N40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" min="1" outlineLevel="0" style="398" width="6.04738649245257"/>
    <col customWidth="true" hidden="false" max="7" min="7" outlineLevel="0" style="398" width="10.565661599632"/>
    <col customWidth="true" hidden="false" max="11" min="11" outlineLevel="0" style="398" width="13.8014567576561"/>
    <col customWidth="true" hidden="false" max="12" min="12" outlineLevel="0" style="398" width="4.7846367333875"/>
  </cols>
  <sheetData>
    <row hidden="false" ht="15.75" outlineLevel="0" r="1">
      <c r="I1" s="101" t="s">
        <v>175</v>
      </c>
    </row>
    <row hidden="false" ht="15.75" outlineLevel="0" r="2">
      <c r="I2" s="105" t="s">
        <v>176</v>
      </c>
    </row>
    <row hidden="false" ht="15.75" outlineLevel="0" r="3">
      <c r="I3" s="101" t="s">
        <v>226</v>
      </c>
    </row>
    <row hidden="false" ht="15.75" outlineLevel="0" r="4">
      <c r="I4" s="105" t="s">
        <v>178</v>
      </c>
    </row>
    <row customHeight="true" hidden="false" ht="48" outlineLevel="0" r="6">
      <c r="A6" s="403" t="s">
        <v>257</v>
      </c>
      <c r="B6" s="403" t="s"/>
      <c r="C6" s="403" t="s"/>
      <c r="D6" s="403" t="s"/>
      <c r="E6" s="403" t="s"/>
      <c r="F6" s="403" t="s"/>
      <c r="G6" s="403" t="s"/>
      <c r="H6" s="403" t="s"/>
      <c r="I6" s="403" t="s"/>
      <c r="J6" s="403" t="s"/>
      <c r="K6" s="403" t="s"/>
      <c r="L6" s="403" t="s"/>
      <c r="M6" s="403" t="s"/>
      <c r="N6" s="403" t="s"/>
    </row>
    <row hidden="false" ht="15.75" outlineLevel="0" r="7">
      <c r="A7" s="4" t="n"/>
      <c r="B7" s="101" t="s">
        <v>232</v>
      </c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</row>
    <row customHeight="true" hidden="false" ht="69" outlineLevel="0" r="8">
      <c r="A8" s="124" t="n"/>
      <c r="B8" s="129" t="s">
        <v>184</v>
      </c>
      <c r="C8" s="1113" t="s"/>
      <c r="D8" s="129" t="s">
        <v>233</v>
      </c>
      <c r="E8" s="1114" t="s"/>
      <c r="F8" s="1115" t="s"/>
      <c r="G8" s="129" t="s">
        <v>186</v>
      </c>
      <c r="H8" s="1116" t="s"/>
      <c r="I8" s="129" t="s">
        <v>187</v>
      </c>
      <c r="J8" s="1117" t="s"/>
      <c r="K8" s="1118" t="s"/>
      <c r="L8" s="129" t="s">
        <v>188</v>
      </c>
      <c r="M8" s="1119" t="s"/>
      <c r="N8" s="1120" t="s"/>
    </row>
    <row customHeight="true" hidden="false" ht="15.75" outlineLevel="0" r="9">
      <c r="A9" s="17" t="n">
        <v>2</v>
      </c>
      <c r="B9" s="32" t="s">
        <v>253</v>
      </c>
      <c r="C9" s="1121" t="s"/>
      <c r="D9" s="225" t="n">
        <f aca="false" ca="false" dt2D="false" dtr="false" t="normal">67733*1.302</f>
        <v>88188.36600000001</v>
      </c>
      <c r="E9" s="1130" t="s"/>
      <c r="F9" s="1131" t="s"/>
      <c r="G9" s="225" t="n">
        <v>10800</v>
      </c>
      <c r="H9" s="1132" t="s"/>
      <c r="I9" s="225" t="n">
        <f aca="false" ca="false" dt2D="false" dtr="false" t="normal">60*1.35</f>
        <v>81</v>
      </c>
      <c r="J9" s="1136" t="s"/>
      <c r="K9" s="1138" t="s"/>
      <c r="L9" s="225" t="n">
        <f aca="false" ca="false" dt2D="false" dtr="false" t="normal">D9/G9*I9</f>
        <v>661.412745</v>
      </c>
      <c r="M9" s="1143" t="s"/>
      <c r="N9" s="1144" t="s"/>
    </row>
    <row customHeight="true" hidden="false" ht="15.75" outlineLevel="0" r="10">
      <c r="A10" s="124" t="n"/>
      <c r="B10" s="32" t="s">
        <v>183</v>
      </c>
      <c r="C10" s="1145" t="s"/>
      <c r="D10" s="225" t="n">
        <f aca="false" ca="false" dt2D="false" dtr="false" t="normal">SUM(D9:F9)</f>
        <v>88188.36600000001</v>
      </c>
      <c r="E10" s="1153" t="s"/>
      <c r="F10" s="1155" t="s"/>
      <c r="G10" s="225" t="n">
        <f aca="false" ca="false" dt2D="false" dtr="false" t="normal">SUM(G9:H9)</f>
        <v>10800</v>
      </c>
      <c r="H10" s="1156" t="s"/>
      <c r="I10" s="225" t="n">
        <f aca="false" ca="false" dt2D="false" dtr="false" t="normal">SUM(I9:K9)</f>
        <v>81</v>
      </c>
      <c r="J10" s="1160" t="s"/>
      <c r="K10" s="1162" t="s"/>
      <c r="L10" s="250" t="n">
        <f aca="false" ca="false" dt2D="false" dtr="false" t="normal">SUM(L9:N9)</f>
        <v>661.412745</v>
      </c>
      <c r="M10" s="1167" t="s"/>
      <c r="N10" s="1168" t="s"/>
    </row>
    <row hidden="false" ht="15.75" outlineLevel="0" r="11">
      <c r="A11" s="3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</row>
    <row hidden="false" ht="15.75" outlineLevel="0" r="12">
      <c r="A12" s="4" t="n"/>
      <c r="B12" s="101" t="s">
        <v>258</v>
      </c>
      <c r="C12" s="10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</row>
    <row customHeight="true" hidden="false" ht="63" outlineLevel="0" r="13">
      <c r="A13" s="124" t="n"/>
      <c r="B13" s="1185" t="s">
        <v>213</v>
      </c>
      <c r="C13" s="1186" t="s"/>
      <c r="D13" s="353" t="s">
        <v>214</v>
      </c>
      <c r="E13" s="1187" t="s"/>
      <c r="F13" s="1188" t="s"/>
      <c r="G13" s="1189" t="s">
        <v>215</v>
      </c>
      <c r="H13" s="417" t="s">
        <v>216</v>
      </c>
      <c r="I13" s="1190" t="s"/>
      <c r="J13" s="353" t="s">
        <v>217</v>
      </c>
      <c r="K13" s="1194" t="s"/>
      <c r="L13" s="1195" t="s"/>
      <c r="M13" s="353" t="s">
        <v>259</v>
      </c>
      <c r="N13" s="1201" t="s"/>
    </row>
    <row customHeight="true" hidden="false" ht="15.75" outlineLevel="0" r="14">
      <c r="A14" s="17" t="n">
        <v>1</v>
      </c>
      <c r="B14" s="32" t="s">
        <v>173</v>
      </c>
      <c r="C14" s="1202" t="s"/>
      <c r="D14" s="95" t="n">
        <v>70000</v>
      </c>
      <c r="E14" s="1203" t="s"/>
      <c r="F14" s="1204" t="s"/>
      <c r="G14" s="98" t="n">
        <v>0.3</v>
      </c>
      <c r="H14" s="99" t="s">
        <v>174</v>
      </c>
      <c r="I14" s="1206" t="s"/>
      <c r="J14" s="95" t="n">
        <v>1.35</v>
      </c>
      <c r="K14" s="1209" t="s"/>
      <c r="L14" s="1211" t="s"/>
      <c r="M14" s="106" t="n">
        <f aca="false" ca="false" dt2D="false" dtr="false" t="normal">D14*G14/H14*J14</f>
        <v>17.71875</v>
      </c>
      <c r="N14" s="1216" t="s"/>
    </row>
    <row customHeight="true" hidden="false" ht="15.75" outlineLevel="0" r="15">
      <c r="A15" s="17" t="n">
        <v>2</v>
      </c>
      <c r="B15" s="32" t="s">
        <v>181</v>
      </c>
      <c r="C15" s="1217" t="s"/>
      <c r="D15" s="95" t="n">
        <v>500000</v>
      </c>
      <c r="E15" s="1218" t="s"/>
      <c r="F15" s="1219" t="s"/>
      <c r="G15" s="98" t="n">
        <v>0.3</v>
      </c>
      <c r="H15" s="99" t="s">
        <v>174</v>
      </c>
      <c r="I15" s="1222" t="s"/>
      <c r="J15" s="95" t="n">
        <v>1.35</v>
      </c>
      <c r="K15" s="1225" t="s"/>
      <c r="L15" s="1227" t="s"/>
      <c r="M15" s="106" t="n">
        <f aca="false" ca="false" dt2D="false" dtr="false" t="normal">D15*G15/H15*J15</f>
        <v>126.56250000000001</v>
      </c>
      <c r="N15" s="1231" t="s"/>
    </row>
    <row customHeight="true" hidden="false" ht="15.75" outlineLevel="0" r="16">
      <c r="A16" s="124" t="n"/>
      <c r="B16" s="32" t="n"/>
      <c r="C16" s="1232" t="s"/>
      <c r="D16" s="95" t="n"/>
      <c r="E16" s="1236" t="s"/>
      <c r="F16" s="1238" t="s"/>
      <c r="G16" s="98" t="n"/>
      <c r="H16" s="99" t="n"/>
      <c r="I16" s="1243" t="s"/>
      <c r="J16" s="95" t="n"/>
      <c r="K16" s="1244" t="s"/>
      <c r="L16" s="1245" t="s"/>
      <c r="M16" s="136" t="n">
        <f aca="false" ca="false" dt2D="false" dtr="false" t="normal">SUM(M14:N15)</f>
        <v>144.28125</v>
      </c>
      <c r="N16" s="1246" t="s"/>
    </row>
    <row hidden="false" ht="15.75" outlineLevel="0"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</row>
    <row customHeight="true" hidden="false" ht="21" outlineLevel="0" r="18">
      <c r="A18" s="1" t="n"/>
      <c r="B18" s="264" t="s">
        <v>219</v>
      </c>
      <c r="C18" s="265" t="n"/>
      <c r="D18" s="265" t="n"/>
      <c r="E18" s="265" t="n"/>
      <c r="F18" s="265" t="n"/>
      <c r="G18" s="265" t="n"/>
      <c r="H18" s="265" t="n"/>
      <c r="I18" s="265" t="n"/>
      <c r="J18" s="3" t="n"/>
      <c r="K18" s="3" t="n"/>
      <c r="L18" s="4" t="n"/>
      <c r="M18" s="4" t="n"/>
      <c r="N18" s="4" t="n"/>
    </row>
    <row customHeight="true" hidden="false" ht="15.75" outlineLevel="0" r="19">
      <c r="A19" s="20" t="n"/>
      <c r="B19" s="266" t="s">
        <v>220</v>
      </c>
      <c r="C19" s="1255" t="s"/>
      <c r="D19" s="1256" t="s"/>
      <c r="E19" s="1257" t="s"/>
      <c r="F19" s="1258" t="s"/>
      <c r="G19" s="1260" t="s"/>
      <c r="H19" s="1261" t="s"/>
      <c r="I19" s="1263" t="s"/>
      <c r="J19" s="1265" t="s"/>
      <c r="K19" s="275" t="s">
        <v>261</v>
      </c>
    </row>
    <row customHeight="true" hidden="false" ht="15.75" outlineLevel="0" r="20">
      <c r="A20" s="17" t="n">
        <v>1</v>
      </c>
      <c r="B20" s="276" t="s">
        <v>222</v>
      </c>
      <c r="C20" s="1271" t="s"/>
      <c r="D20" s="1272" t="s"/>
      <c r="E20" s="1273" t="s"/>
      <c r="F20" s="1274" t="s"/>
      <c r="G20" s="1275" t="s"/>
      <c r="H20" s="1276" t="s"/>
      <c r="I20" s="1277" t="s"/>
      <c r="J20" s="1278" t="s"/>
      <c r="K20" s="285" t="n">
        <f aca="false" ca="false" dt2D="false" dtr="false" t="normal">SUM(K21:K22)</f>
        <v>102772.60670398166</v>
      </c>
    </row>
    <row customHeight="true" hidden="false" ht="15.75" outlineLevel="0" r="21">
      <c r="A21" s="17" t="n"/>
      <c r="B21" s="144" t="s">
        <v>223</v>
      </c>
      <c r="C21" s="1105" t="s"/>
      <c r="D21" s="1106" t="s"/>
      <c r="E21" s="1107" t="s"/>
      <c r="F21" s="1108" t="s"/>
      <c r="G21" s="1109" t="s"/>
      <c r="H21" s="1110" t="s"/>
      <c r="I21" s="1111" t="s"/>
      <c r="J21" s="1112" t="s"/>
      <c r="K21" s="285" t="n">
        <f aca="false" ca="false" dt2D="false" dtr="false" t="normal">(15990207-D10)*1.302/218</f>
        <v>94974.44156636698</v>
      </c>
    </row>
    <row customHeight="true" hidden="false" ht="15.75" outlineLevel="0" r="22">
      <c r="A22" s="17" t="n"/>
      <c r="B22" s="144" t="s">
        <v>224</v>
      </c>
      <c r="C22" s="1122" t="s"/>
      <c r="D22" s="1123" t="s"/>
      <c r="E22" s="1124" t="s"/>
      <c r="F22" s="1125" t="s"/>
      <c r="G22" s="1126" t="s"/>
      <c r="H22" s="1127" t="s"/>
      <c r="I22" s="1128" t="s"/>
      <c r="J22" s="1129" t="s"/>
      <c r="K22" s="285" t="n">
        <f aca="false" ca="false" dt2D="false" dtr="false" t="normal">(200000+1500000)/218</f>
        <v>7798.165137614679</v>
      </c>
    </row>
    <row customHeight="true" hidden="false" ht="15.75" outlineLevel="0" r="23">
      <c r="A23" s="17" t="n">
        <v>2</v>
      </c>
      <c r="B23" s="144" t="s">
        <v>225</v>
      </c>
      <c r="C23" s="1133" t="s"/>
      <c r="D23" s="1134" t="s"/>
      <c r="E23" s="1135" t="s"/>
      <c r="F23" s="1137" t="s"/>
      <c r="G23" s="1139" t="s"/>
      <c r="H23" s="1140" t="s"/>
      <c r="I23" s="1141" t="s"/>
      <c r="J23" s="1142" t="s"/>
      <c r="K23" s="285" t="n">
        <f aca="false" ca="false" dt2D="false" dtr="false" t="normal">SUM(K24:K25)</f>
        <v>68104.96788990825</v>
      </c>
    </row>
    <row customHeight="true" hidden="false" ht="15.75" outlineLevel="0" r="24">
      <c r="A24" s="17" t="n"/>
      <c r="B24" s="310" t="s">
        <v>227</v>
      </c>
      <c r="C24" s="1146" t="s"/>
      <c r="D24" s="1147" t="s"/>
      <c r="E24" s="1148" t="s"/>
      <c r="F24" s="1149" t="s"/>
      <c r="G24" s="1150" t="s"/>
      <c r="H24" s="1151" t="s"/>
      <c r="I24" s="1152" t="s"/>
      <c r="J24" s="1154" t="s"/>
      <c r="K24" s="285" t="n">
        <f aca="false" ca="false" dt2D="false" dtr="false" t="normal">2000000/218</f>
        <v>9174.311926605504</v>
      </c>
    </row>
    <row customHeight="true" hidden="false" ht="15.75" outlineLevel="0" r="25">
      <c r="A25" s="17" t="n"/>
      <c r="B25" s="310" t="s">
        <v>228</v>
      </c>
      <c r="C25" s="1157" t="s"/>
      <c r="D25" s="1158" t="s"/>
      <c r="E25" s="1159" t="s"/>
      <c r="F25" s="1161" t="s"/>
      <c r="G25" s="1163" t="s"/>
      <c r="H25" s="1164" t="s"/>
      <c r="I25" s="1165" t="s"/>
      <c r="J25" s="1166" t="s"/>
      <c r="K25" s="285" t="n">
        <f aca="false" ca="false" dt2D="false" dtr="false" t="normal">(8246883+3800000+800000)/218</f>
        <v>58930.65596330275</v>
      </c>
    </row>
    <row customHeight="true" hidden="false" ht="15.75" outlineLevel="0" r="26">
      <c r="A26" s="17" t="n">
        <v>3</v>
      </c>
      <c r="B26" s="144" t="s">
        <v>230</v>
      </c>
      <c r="C26" s="1169" t="s"/>
      <c r="D26" s="1170" t="s"/>
      <c r="E26" s="1171" t="s"/>
      <c r="F26" s="1172" t="s"/>
      <c r="G26" s="1173" t="s"/>
      <c r="H26" s="1174" t="s"/>
      <c r="I26" s="1175" t="s"/>
      <c r="J26" s="1176" t="s"/>
      <c r="K26" s="285" t="n">
        <f aca="false" ca="false" dt2D="false" dtr="false" t="normal">M16</f>
        <v>144.28125</v>
      </c>
    </row>
    <row customHeight="true" hidden="false" ht="15.75" outlineLevel="0" r="27">
      <c r="A27" s="17" t="n"/>
      <c r="B27" s="276" t="s">
        <v>183</v>
      </c>
      <c r="C27" s="1177" t="s"/>
      <c r="D27" s="1178" t="s"/>
      <c r="E27" s="1179" t="s"/>
      <c r="F27" s="1180" t="s"/>
      <c r="G27" s="1181" t="s"/>
      <c r="H27" s="1182" t="s"/>
      <c r="I27" s="1183" t="s"/>
      <c r="J27" s="1184" t="s"/>
      <c r="K27" s="285" t="n">
        <f aca="false" ca="false" dt2D="false" dtr="false" t="normal">K23+K26</f>
        <v>68249.24913990825</v>
      </c>
    </row>
    <row customHeight="true" hidden="false" ht="15.75" outlineLevel="0" r="28">
      <c r="A28" s="17" t="n">
        <v>4</v>
      </c>
      <c r="B28" s="144" t="s">
        <v>231</v>
      </c>
      <c r="C28" s="1191" t="s"/>
      <c r="D28" s="1192" t="s"/>
      <c r="E28" s="1193" t="s"/>
      <c r="F28" s="1196" t="s"/>
      <c r="G28" s="1197" t="s"/>
      <c r="H28" s="1198" t="s"/>
      <c r="I28" s="1199" t="s"/>
      <c r="J28" s="1200" t="s"/>
      <c r="K28" s="285" t="n">
        <f aca="false" ca="false" dt2D="false" dtr="false" t="normal">SUM(D10)</f>
        <v>88188.36600000001</v>
      </c>
    </row>
    <row customHeight="true" hidden="false" ht="15.75" outlineLevel="0" r="29">
      <c r="A29" s="17" t="n">
        <v>5</v>
      </c>
      <c r="B29" s="276" t="s">
        <v>234</v>
      </c>
      <c r="C29" s="1205" t="s"/>
      <c r="D29" s="1207" t="s"/>
      <c r="E29" s="1208" t="s"/>
      <c r="F29" s="1210" t="s"/>
      <c r="G29" s="1212" t="s"/>
      <c r="H29" s="1213" t="s"/>
      <c r="I29" s="1214" t="s"/>
      <c r="J29" s="1215" t="s"/>
      <c r="K29" s="285" t="n">
        <f aca="false" ca="false" dt2D="false" dtr="false" t="normal">(K20+K23+K26)/K28</f>
        <v>1.939279109036785</v>
      </c>
    </row>
    <row customHeight="true" hidden="false" ht="15.75" outlineLevel="0" r="30">
      <c r="A30" s="17" t="n">
        <f aca="false" ca="false" dt2D="false" dtr="false" t="normal">SUM(A29+1)</f>
        <v>6</v>
      </c>
      <c r="B30" s="144" t="s">
        <v>235</v>
      </c>
      <c r="C30" s="1220" t="s"/>
      <c r="D30" s="1221" t="s"/>
      <c r="E30" s="1223" t="s"/>
      <c r="F30" s="1224" t="s"/>
      <c r="G30" s="1226" t="s"/>
      <c r="H30" s="1228" t="s"/>
      <c r="I30" s="1229" t="s"/>
      <c r="J30" s="1230" t="s"/>
      <c r="K30" s="285" t="n">
        <f aca="false" ca="false" dt2D="false" dtr="false" t="normal">L10</f>
        <v>661.412745</v>
      </c>
    </row>
    <row customHeight="true" hidden="false" ht="15.75" outlineLevel="0" r="31">
      <c r="A31" s="124" t="n"/>
      <c r="B31" s="276" t="s">
        <v>236</v>
      </c>
      <c r="C31" s="1233" t="s"/>
      <c r="D31" s="1234" t="s"/>
      <c r="E31" s="1235" t="s"/>
      <c r="F31" s="1237" t="s"/>
      <c r="G31" s="1239" t="s"/>
      <c r="H31" s="1240" t="s"/>
      <c r="I31" s="1241" t="s"/>
      <c r="J31" s="1242" t="s"/>
      <c r="K31" s="395" t="n">
        <f aca="false" ca="false" dt2D="false" dtr="false" t="normal">SUM(K30*K29)</f>
        <v>1282.6639188291742</v>
      </c>
    </row>
    <row hidden="false" ht="15.75" outlineLevel="0"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</row>
    <row customHeight="true" hidden="false" ht="49.5" outlineLevel="0" r="33">
      <c r="A33" s="403" t="s">
        <v>260</v>
      </c>
      <c r="B33" s="403" t="s"/>
      <c r="C33" s="403" t="s"/>
      <c r="D33" s="403" t="s"/>
      <c r="E33" s="403" t="s"/>
      <c r="F33" s="403" t="s"/>
      <c r="G33" s="403" t="s"/>
      <c r="H33" s="403" t="s"/>
      <c r="I33" s="403" t="s"/>
      <c r="J33" s="403" t="s"/>
      <c r="K33" s="403" t="s"/>
    </row>
    <row customHeight="true" hidden="false" ht="31.5" outlineLevel="0" r="34">
      <c r="A34" s="169" t="s">
        <v>239</v>
      </c>
      <c r="B34" s="169" t="s">
        <v>240</v>
      </c>
      <c r="C34" s="1247" t="s"/>
      <c r="D34" s="1248" t="s"/>
      <c r="E34" s="1249" t="s"/>
      <c r="F34" s="1250" t="s"/>
      <c r="G34" s="1251" t="s"/>
      <c r="H34" s="1252" t="s"/>
      <c r="I34" s="1253" t="s"/>
      <c r="J34" s="1254" t="s"/>
      <c r="K34" s="417" t="s">
        <v>241</v>
      </c>
    </row>
    <row customHeight="true" hidden="false" ht="15.75" outlineLevel="0" r="35">
      <c r="A35" s="67" t="n">
        <v>1</v>
      </c>
      <c r="B35" s="177" t="s">
        <v>242</v>
      </c>
      <c r="C35" s="1259" t="s"/>
      <c r="D35" s="1262" t="s"/>
      <c r="E35" s="1264" t="s"/>
      <c r="F35" s="1266" t="s"/>
      <c r="G35" s="1267" t="s"/>
      <c r="H35" s="1268" t="s"/>
      <c r="I35" s="1269" t="s"/>
      <c r="J35" s="1270" t="s"/>
      <c r="K35" s="567" t="n">
        <f aca="false" ca="false" dt2D="false" dtr="false" t="normal">SUM(L10)</f>
        <v>661.412745</v>
      </c>
    </row>
    <row customHeight="true" hidden="false" ht="29.25" outlineLevel="0" r="36">
      <c r="A36" s="67" t="n">
        <v>2</v>
      </c>
      <c r="B36" s="177" t="s">
        <v>244</v>
      </c>
      <c r="C36" s="1279" t="s"/>
      <c r="D36" s="1280" t="s"/>
      <c r="E36" s="1281" t="s"/>
      <c r="F36" s="1282" t="s"/>
      <c r="G36" s="1283" t="s"/>
      <c r="H36" s="1284" t="s"/>
      <c r="I36" s="1285" t="s"/>
      <c r="J36" s="1286" t="s"/>
      <c r="K36" s="567" t="n">
        <f aca="false" ca="false" dt2D="false" dtr="false" t="normal">SUM(M16)</f>
        <v>144.28125</v>
      </c>
    </row>
    <row customHeight="true" hidden="false" ht="15.75" outlineLevel="0" r="37">
      <c r="A37" s="67" t="n">
        <v>3</v>
      </c>
      <c r="B37" s="177" t="s">
        <v>245</v>
      </c>
      <c r="C37" s="1295" t="s"/>
      <c r="D37" s="1296" t="s"/>
      <c r="E37" s="1297" t="s"/>
      <c r="F37" s="1298" t="s"/>
      <c r="G37" s="1299" t="s"/>
      <c r="H37" s="1300" t="s"/>
      <c r="I37" s="1301" t="s"/>
      <c r="J37" s="1302" t="s"/>
      <c r="K37" s="567" t="n">
        <f aca="false" ca="false" dt2D="false" dtr="false" t="normal">SUM(K31)</f>
        <v>1282.6639188291742</v>
      </c>
    </row>
    <row customHeight="true" hidden="false" ht="15.75" outlineLevel="0" r="38">
      <c r="A38" s="67" t="n">
        <v>4</v>
      </c>
      <c r="B38" s="189" t="s">
        <v>247</v>
      </c>
      <c r="C38" s="1287" t="s"/>
      <c r="D38" s="1288" t="s"/>
      <c r="E38" s="1289" t="s"/>
      <c r="F38" s="1290" t="s"/>
      <c r="G38" s="1291" t="s"/>
      <c r="H38" s="1292" t="s"/>
      <c r="I38" s="1293" t="s"/>
      <c r="J38" s="1294" t="s"/>
      <c r="K38" s="567" t="n">
        <f aca="false" ca="false" dt2D="false" dtr="false" t="normal">SUM(K35:K37)</f>
        <v>2088.3579138291743</v>
      </c>
    </row>
    <row hidden="false" ht="15.75" outlineLevel="0" r="39">
      <c r="A39" s="67" t="n">
        <v>5</v>
      </c>
      <c r="B39" s="492" t="s">
        <v>208</v>
      </c>
      <c r="C39" s="493" t="n"/>
      <c r="D39" s="493" t="n"/>
      <c r="E39" s="493" t="n"/>
      <c r="F39" s="493" t="n"/>
      <c r="G39" s="493" t="n"/>
      <c r="H39" s="493" t="n"/>
      <c r="I39" s="493" t="n"/>
      <c r="J39" s="494" t="n"/>
      <c r="K39" s="567" t="n">
        <f aca="false" ca="false" dt2D="false" dtr="false" t="normal">SUM(K38*0.22)</f>
        <v>459.43874104241837</v>
      </c>
    </row>
    <row customHeight="true" hidden="false" ht="15.75" outlineLevel="0" r="40">
      <c r="A40" s="67" t="n"/>
      <c r="B40" s="177" t="s">
        <v>262</v>
      </c>
      <c r="C40" s="1303" t="s"/>
      <c r="D40" s="1304" t="s"/>
      <c r="E40" s="1305" t="s"/>
      <c r="F40" s="1306" t="s"/>
      <c r="G40" s="1307" t="s"/>
      <c r="H40" s="1308" t="s"/>
      <c r="I40" s="1309" t="s"/>
      <c r="J40" s="1310" t="s"/>
      <c r="K40" s="616" t="n">
        <f aca="false" ca="false" dt2D="false" dtr="false" t="normal">SUM(K38:K39)-98</f>
        <v>2449.7966548715926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56">
    <mergeCell ref="A6:N6"/>
    <mergeCell ref="L8:N8"/>
    <mergeCell ref="B8:C8"/>
    <mergeCell ref="D8:F8"/>
    <mergeCell ref="I8:K8"/>
    <mergeCell ref="I9:K9"/>
    <mergeCell ref="L9:N9"/>
    <mergeCell ref="L10:N10"/>
    <mergeCell ref="I10:K10"/>
    <mergeCell ref="G8:H8"/>
    <mergeCell ref="G9:H9"/>
    <mergeCell ref="D9:F9"/>
    <mergeCell ref="B9:C9"/>
    <mergeCell ref="G10:H10"/>
    <mergeCell ref="D10:F10"/>
    <mergeCell ref="B10:C10"/>
    <mergeCell ref="B13:C13"/>
    <mergeCell ref="D13:F13"/>
    <mergeCell ref="B14:C14"/>
    <mergeCell ref="D14:F14"/>
    <mergeCell ref="H13:I13"/>
    <mergeCell ref="H14:I14"/>
    <mergeCell ref="J13:L13"/>
    <mergeCell ref="M13:N13"/>
    <mergeCell ref="J14:L14"/>
    <mergeCell ref="M14:N14"/>
    <mergeCell ref="M15:N15"/>
    <mergeCell ref="M16:N16"/>
    <mergeCell ref="J15:L15"/>
    <mergeCell ref="J16:L16"/>
    <mergeCell ref="H15:I15"/>
    <mergeCell ref="D15:F15"/>
    <mergeCell ref="B15:C15"/>
    <mergeCell ref="D16:F16"/>
    <mergeCell ref="B16:C16"/>
    <mergeCell ref="H16:I16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A33:K33"/>
    <mergeCell ref="B34:J34"/>
    <mergeCell ref="B35:J35"/>
    <mergeCell ref="B36:J36"/>
    <mergeCell ref="B37:J37"/>
    <mergeCell ref="B38:J38"/>
    <mergeCell ref="B40:J40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N40"/>
  <sheetViews>
    <sheetView showZeros="true" workbookViewId="0"/>
  </sheetViews>
  <sheetFormatPr baseColWidth="8" customHeight="false" defaultColWidth="8.93265781893704" defaultRowHeight="12.75" zeroHeight="false"/>
  <cols>
    <col customWidth="true" hidden="false" max="11" min="11" outlineLevel="0" style="398" width="10.9800016815118"/>
    <col customWidth="true" hidden="false" max="12" min="12" outlineLevel="0" style="398" width="3.79811369557564"/>
  </cols>
  <sheetData>
    <row hidden="false" ht="15.75" outlineLevel="0" r="1">
      <c r="I1" s="101" t="s">
        <v>175</v>
      </c>
    </row>
    <row hidden="false" ht="15.75" outlineLevel="0" r="2">
      <c r="I2" s="105" t="s">
        <v>176</v>
      </c>
    </row>
    <row hidden="false" ht="15.75" outlineLevel="0" r="3">
      <c r="I3" s="101" t="s">
        <v>226</v>
      </c>
    </row>
    <row hidden="false" ht="15.75" outlineLevel="0" r="4">
      <c r="I4" s="105" t="s">
        <v>178</v>
      </c>
    </row>
    <row customHeight="true" hidden="false" ht="46.5" outlineLevel="0" r="6">
      <c r="A6" s="115" t="s">
        <v>263</v>
      </c>
      <c r="B6" s="115" t="s"/>
      <c r="C6" s="115" t="s"/>
      <c r="D6" s="115" t="s"/>
      <c r="E6" s="115" t="s"/>
      <c r="F6" s="115" t="s"/>
      <c r="G6" s="115" t="s"/>
      <c r="H6" s="115" t="s"/>
      <c r="I6" s="115" t="s"/>
      <c r="J6" s="115" t="s"/>
      <c r="K6" s="115" t="s"/>
      <c r="L6" s="115" t="s"/>
      <c r="M6" s="115" t="s"/>
      <c r="N6" s="115" t="s"/>
    </row>
    <row hidden="false" ht="15.75" outlineLevel="0" r="7">
      <c r="A7" s="4" t="n"/>
      <c r="B7" s="101" t="s">
        <v>232</v>
      </c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</row>
    <row customHeight="true" hidden="false" ht="63.75" outlineLevel="0" r="8">
      <c r="A8" s="124" t="n"/>
      <c r="B8" s="129" t="s">
        <v>184</v>
      </c>
      <c r="C8" s="1319" t="s"/>
      <c r="D8" s="129" t="s">
        <v>233</v>
      </c>
      <c r="E8" s="1320" t="s"/>
      <c r="F8" s="1321" t="s"/>
      <c r="G8" s="129" t="s">
        <v>186</v>
      </c>
      <c r="H8" s="1322" t="s"/>
      <c r="I8" s="129" t="s">
        <v>187</v>
      </c>
      <c r="J8" s="1323" t="s"/>
      <c r="K8" s="1324" t="s"/>
      <c r="L8" s="129" t="s">
        <v>188</v>
      </c>
      <c r="M8" s="1325" t="s"/>
      <c r="N8" s="1326" t="s"/>
    </row>
    <row customHeight="true" hidden="false" ht="15.75" outlineLevel="0" r="9">
      <c r="A9" s="17" t="n">
        <v>2</v>
      </c>
      <c r="B9" s="32" t="s">
        <v>253</v>
      </c>
      <c r="C9" s="1327" t="s"/>
      <c r="D9" s="225" t="n">
        <f aca="false" ca="false" dt2D="false" dtr="false" t="normal">67733*1.302</f>
        <v>88188.36600000001</v>
      </c>
      <c r="E9" s="1336" t="s"/>
      <c r="F9" s="1337" t="s"/>
      <c r="G9" s="225" t="n">
        <v>9600</v>
      </c>
      <c r="H9" s="1338" t="s"/>
      <c r="I9" s="225" t="n">
        <v>103</v>
      </c>
      <c r="J9" s="1342" t="s"/>
      <c r="K9" s="1344" t="s"/>
      <c r="L9" s="225" t="n">
        <f aca="false" ca="false" dt2D="false" dtr="false" t="normal">D9/G9*I9</f>
        <v>946.1876768750001</v>
      </c>
      <c r="M9" s="1349" t="s"/>
      <c r="N9" s="1350" t="s"/>
    </row>
    <row customHeight="true" hidden="false" ht="15.75" outlineLevel="0" r="10">
      <c r="A10" s="124" t="n"/>
      <c r="B10" s="32" t="s">
        <v>183</v>
      </c>
      <c r="C10" s="1351" t="s"/>
      <c r="D10" s="225" t="n">
        <f aca="false" ca="false" dt2D="false" dtr="false" t="normal">SUM(D9:F9)</f>
        <v>88188.36600000001</v>
      </c>
      <c r="E10" s="1360" t="s"/>
      <c r="F10" s="1361" t="s"/>
      <c r="G10" s="225" t="n">
        <f aca="false" ca="false" dt2D="false" dtr="false" t="normal">SUM(G9:H9)</f>
        <v>9600</v>
      </c>
      <c r="H10" s="1364" t="s"/>
      <c r="I10" s="225" t="n">
        <f aca="false" ca="false" dt2D="false" dtr="false" t="normal">SUM(I9:K9)</f>
        <v>103</v>
      </c>
      <c r="J10" s="1371" t="s"/>
      <c r="K10" s="1372" t="s"/>
      <c r="L10" s="250" t="n">
        <f aca="false" ca="false" dt2D="false" dtr="false" t="normal">SUM(L9:N9)</f>
        <v>946.1876768750001</v>
      </c>
      <c r="M10" s="1373" t="s"/>
      <c r="N10" s="1374" t="s"/>
    </row>
    <row hidden="false" ht="15.75" outlineLevel="0" r="11">
      <c r="A11" s="3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</row>
    <row hidden="false" ht="15.75" outlineLevel="0" r="12">
      <c r="A12" s="4" t="n"/>
      <c r="B12" s="101" t="s">
        <v>258</v>
      </c>
      <c r="C12" s="10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</row>
    <row customHeight="true" hidden="false" ht="107.25" outlineLevel="0" r="13">
      <c r="A13" s="17" t="n"/>
      <c r="B13" s="129" t="s">
        <v>213</v>
      </c>
      <c r="C13" s="1391" t="s"/>
      <c r="D13" s="129" t="s">
        <v>214</v>
      </c>
      <c r="E13" s="1392" t="s"/>
      <c r="F13" s="1394" t="s"/>
      <c r="G13" s="259" t="s">
        <v>215</v>
      </c>
      <c r="H13" s="169" t="s">
        <v>216</v>
      </c>
      <c r="I13" s="1402" t="s"/>
      <c r="J13" s="129" t="s">
        <v>217</v>
      </c>
      <c r="K13" s="1403" t="s"/>
      <c r="L13" s="1404" t="s"/>
      <c r="M13" s="129" t="s">
        <v>259</v>
      </c>
      <c r="N13" s="1405" t="s"/>
    </row>
    <row customHeight="true" hidden="false" ht="15.75" outlineLevel="0" r="14">
      <c r="A14" s="17" t="n">
        <v>1</v>
      </c>
      <c r="B14" s="32" t="s">
        <v>173</v>
      </c>
      <c r="C14" s="1407" t="s"/>
      <c r="D14" s="95" t="n">
        <v>70000</v>
      </c>
      <c r="E14" s="1412" t="s"/>
      <c r="F14" s="1414" t="s"/>
      <c r="G14" s="98" t="n">
        <v>0.3</v>
      </c>
      <c r="H14" s="99" t="s">
        <v>174</v>
      </c>
      <c r="I14" s="1417" t="s"/>
      <c r="J14" s="95" t="n">
        <v>1</v>
      </c>
      <c r="K14" s="1418" t="s"/>
      <c r="L14" s="1419" t="s"/>
      <c r="M14" s="106" t="n">
        <f aca="false" ca="false" dt2D="false" dtr="false" t="normal">D14*G14/H14*J14</f>
        <v>13.125</v>
      </c>
      <c r="N14" s="1420" t="s"/>
    </row>
    <row customHeight="true" hidden="false" ht="15.75" outlineLevel="0" r="15">
      <c r="A15" s="17" t="n">
        <v>2</v>
      </c>
      <c r="B15" s="32" t="s">
        <v>181</v>
      </c>
      <c r="C15" s="1424" t="s"/>
      <c r="D15" s="95" t="n">
        <v>500000</v>
      </c>
      <c r="E15" s="1428" t="s"/>
      <c r="F15" s="1430" t="s"/>
      <c r="G15" s="98" t="n">
        <v>0.3</v>
      </c>
      <c r="H15" s="99" t="s">
        <v>174</v>
      </c>
      <c r="I15" s="1432" t="s"/>
      <c r="J15" s="95" t="n">
        <v>1</v>
      </c>
      <c r="K15" s="1433" t="s"/>
      <c r="L15" s="1434" t="s"/>
      <c r="M15" s="106" t="n">
        <f aca="false" ca="false" dt2D="false" dtr="false" t="normal">D15*G15/H15*J15</f>
        <v>93.75</v>
      </c>
      <c r="N15" s="1439" t="s"/>
    </row>
    <row customHeight="true" hidden="false" ht="15.75" outlineLevel="0" r="16">
      <c r="A16" s="124" t="n"/>
      <c r="B16" s="32" t="n"/>
      <c r="C16" s="1444" t="s"/>
      <c r="D16" s="95" t="n"/>
      <c r="E16" s="1445" t="s"/>
      <c r="F16" s="1446" t="s"/>
      <c r="G16" s="98" t="n"/>
      <c r="H16" s="99" t="n"/>
      <c r="I16" s="1447" t="s"/>
      <c r="J16" s="95" t="n"/>
      <c r="K16" s="1448" t="s"/>
      <c r="L16" s="1449" t="s"/>
      <c r="M16" s="136" t="n">
        <f aca="false" ca="false" dt2D="false" dtr="false" t="normal">SUM(M14:N15)</f>
        <v>106.875</v>
      </c>
      <c r="N16" s="1450" t="s"/>
    </row>
    <row hidden="false" ht="15.75" outlineLevel="0"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</row>
    <row hidden="false" ht="15.75" outlineLevel="0" r="18">
      <c r="A18" s="1" t="n"/>
      <c r="B18" s="264" t="s">
        <v>219</v>
      </c>
      <c r="C18" s="265" t="n"/>
      <c r="D18" s="265" t="n"/>
      <c r="E18" s="265" t="n"/>
      <c r="F18" s="265" t="n"/>
      <c r="G18" s="265" t="n"/>
      <c r="H18" s="265" t="n"/>
      <c r="I18" s="265" t="n"/>
      <c r="J18" s="3" t="n"/>
      <c r="K18" s="3" t="n"/>
      <c r="L18" s="4" t="n"/>
      <c r="M18" s="4" t="n"/>
      <c r="N18" s="4" t="n"/>
    </row>
    <row customHeight="true" hidden="false" ht="15.75" outlineLevel="0" r="19">
      <c r="A19" s="20" t="n"/>
      <c r="B19" s="266" t="s">
        <v>220</v>
      </c>
      <c r="C19" s="1460" t="s"/>
      <c r="D19" s="1462" t="s"/>
      <c r="E19" s="1464" t="s"/>
      <c r="F19" s="1466" t="s"/>
      <c r="G19" s="1468" t="s"/>
      <c r="H19" s="1470" t="s"/>
      <c r="I19" s="1472" t="s"/>
      <c r="J19" s="1474" t="s"/>
      <c r="K19" s="275" t="s">
        <v>261</v>
      </c>
    </row>
    <row customHeight="true" hidden="false" ht="15.75" outlineLevel="0" r="20">
      <c r="A20" s="17" t="n">
        <v>1</v>
      </c>
      <c r="B20" s="276" t="s">
        <v>222</v>
      </c>
      <c r="C20" s="1475" t="s"/>
      <c r="D20" s="1476" t="s"/>
      <c r="E20" s="1477" t="s"/>
      <c r="F20" s="1478" t="s"/>
      <c r="G20" s="1479" t="s"/>
      <c r="H20" s="1480" t="s"/>
      <c r="I20" s="1481" t="s"/>
      <c r="J20" s="1483" t="s"/>
      <c r="K20" s="285" t="n">
        <f aca="false" ca="false" dt2D="false" dtr="false" t="normal">SUM(K21:K22)</f>
        <v>102772.60670398166</v>
      </c>
    </row>
    <row customHeight="true" hidden="false" ht="15.75" outlineLevel="0" r="21">
      <c r="A21" s="17" t="n"/>
      <c r="B21" s="144" t="s">
        <v>223</v>
      </c>
      <c r="C21" s="1311" t="s"/>
      <c r="D21" s="1312" t="s"/>
      <c r="E21" s="1313" t="s"/>
      <c r="F21" s="1314" t="s"/>
      <c r="G21" s="1315" t="s"/>
      <c r="H21" s="1316" t="s"/>
      <c r="I21" s="1317" t="s"/>
      <c r="J21" s="1318" t="s"/>
      <c r="K21" s="285" t="n">
        <f aca="false" ca="false" dt2D="false" dtr="false" t="normal">(15990207-D10)*1.302/218</f>
        <v>94974.44156636698</v>
      </c>
    </row>
    <row customHeight="true" hidden="false" ht="15.75" outlineLevel="0" r="22">
      <c r="A22" s="17" t="n"/>
      <c r="B22" s="144" t="s">
        <v>224</v>
      </c>
      <c r="C22" s="1328" t="s"/>
      <c r="D22" s="1329" t="s"/>
      <c r="E22" s="1330" t="s"/>
      <c r="F22" s="1331" t="s"/>
      <c r="G22" s="1332" t="s"/>
      <c r="H22" s="1333" t="s"/>
      <c r="I22" s="1334" t="s"/>
      <c r="J22" s="1335" t="s"/>
      <c r="K22" s="285" t="n">
        <f aca="false" ca="false" dt2D="false" dtr="false" t="normal">(200000+1500000)/218</f>
        <v>7798.165137614679</v>
      </c>
    </row>
    <row customHeight="true" hidden="false" ht="15.75" outlineLevel="0" r="23">
      <c r="A23" s="17" t="n">
        <v>2</v>
      </c>
      <c r="B23" s="144" t="s">
        <v>225</v>
      </c>
      <c r="C23" s="1339" t="s"/>
      <c r="D23" s="1340" t="s"/>
      <c r="E23" s="1341" t="s"/>
      <c r="F23" s="1343" t="s"/>
      <c r="G23" s="1345" t="s"/>
      <c r="H23" s="1346" t="s"/>
      <c r="I23" s="1347" t="s"/>
      <c r="J23" s="1348" t="s"/>
      <c r="K23" s="285" t="n">
        <f aca="false" ca="false" dt2D="false" dtr="false" t="normal">SUM(K24:K25)</f>
        <v>68104.96788990825</v>
      </c>
    </row>
    <row customHeight="true" hidden="false" ht="15.75" outlineLevel="0" r="24">
      <c r="A24" s="17" t="n"/>
      <c r="B24" s="310" t="s">
        <v>227</v>
      </c>
      <c r="C24" s="1352" t="s"/>
      <c r="D24" s="1353" t="s"/>
      <c r="E24" s="1354" t="s"/>
      <c r="F24" s="1355" t="s"/>
      <c r="G24" s="1356" t="s"/>
      <c r="H24" s="1357" t="s"/>
      <c r="I24" s="1358" t="s"/>
      <c r="J24" s="1359" t="s"/>
      <c r="K24" s="285" t="n">
        <f aca="false" ca="false" dt2D="false" dtr="false" t="normal">2000000/218</f>
        <v>9174.311926605504</v>
      </c>
    </row>
    <row customHeight="true" hidden="false" ht="15.75" outlineLevel="0" r="25">
      <c r="A25" s="17" t="n"/>
      <c r="B25" s="310" t="s">
        <v>228</v>
      </c>
      <c r="C25" s="1362" t="s"/>
      <c r="D25" s="1363" t="s"/>
      <c r="E25" s="1365" t="s"/>
      <c r="F25" s="1366" t="s"/>
      <c r="G25" s="1367" t="s"/>
      <c r="H25" s="1368" t="s"/>
      <c r="I25" s="1369" t="s"/>
      <c r="J25" s="1370" t="s"/>
      <c r="K25" s="285" t="n">
        <f aca="false" ca="false" dt2D="false" dtr="false" t="normal">(8246883+3800000+800000)/218</f>
        <v>58930.65596330275</v>
      </c>
    </row>
    <row customHeight="true" hidden="false" ht="15.75" outlineLevel="0" r="26">
      <c r="A26" s="17" t="n">
        <v>3</v>
      </c>
      <c r="B26" s="144" t="s">
        <v>230</v>
      </c>
      <c r="C26" s="1375" t="s"/>
      <c r="D26" s="1376" t="s"/>
      <c r="E26" s="1377" t="s"/>
      <c r="F26" s="1378" t="s"/>
      <c r="G26" s="1379" t="s"/>
      <c r="H26" s="1380" t="s"/>
      <c r="I26" s="1381" t="s"/>
      <c r="J26" s="1382" t="s"/>
      <c r="K26" s="285" t="n">
        <f aca="false" ca="false" dt2D="false" dtr="false" t="normal">M16</f>
        <v>106.875</v>
      </c>
    </row>
    <row customHeight="true" hidden="false" ht="15.75" outlineLevel="0" r="27">
      <c r="A27" s="17" t="n"/>
      <c r="B27" s="276" t="s">
        <v>183</v>
      </c>
      <c r="C27" s="1383" t="s"/>
      <c r="D27" s="1384" t="s"/>
      <c r="E27" s="1385" t="s"/>
      <c r="F27" s="1386" t="s"/>
      <c r="G27" s="1387" t="s"/>
      <c r="H27" s="1388" t="s"/>
      <c r="I27" s="1389" t="s"/>
      <c r="J27" s="1390" t="s"/>
      <c r="K27" s="285" t="n">
        <f aca="false" ca="false" dt2D="false" dtr="false" t="normal">K23+K26</f>
        <v>68211.84288990825</v>
      </c>
    </row>
    <row customHeight="true" hidden="false" ht="15.75" outlineLevel="0" r="28">
      <c r="A28" s="17" t="n">
        <v>4</v>
      </c>
      <c r="B28" s="144" t="s">
        <v>231</v>
      </c>
      <c r="C28" s="1393" t="s"/>
      <c r="D28" s="1395" t="s"/>
      <c r="E28" s="1396" t="s"/>
      <c r="F28" s="1397" t="s"/>
      <c r="G28" s="1398" t="s"/>
      <c r="H28" s="1399" t="s"/>
      <c r="I28" s="1400" t="s"/>
      <c r="J28" s="1401" t="s"/>
      <c r="K28" s="285" t="n">
        <f aca="false" ca="false" dt2D="false" dtr="false" t="normal">SUM(D10)</f>
        <v>88188.36600000001</v>
      </c>
    </row>
    <row customHeight="true" hidden="false" ht="15.75" outlineLevel="0" r="29">
      <c r="A29" s="17" t="n">
        <v>5</v>
      </c>
      <c r="B29" s="276" t="s">
        <v>234</v>
      </c>
      <c r="C29" s="1406" t="s"/>
      <c r="D29" s="1408" t="s"/>
      <c r="E29" s="1409" t="s"/>
      <c r="F29" s="1410" t="s"/>
      <c r="G29" s="1411" t="s"/>
      <c r="H29" s="1413" t="s"/>
      <c r="I29" s="1415" t="s"/>
      <c r="J29" s="1416" t="s"/>
      <c r="K29" s="285" t="n">
        <f aca="false" ca="false" dt2D="false" dtr="false" t="normal">(K20+K23+K26)/K28</f>
        <v>1.9388549459447961</v>
      </c>
    </row>
    <row customHeight="true" hidden="false" ht="15.75" outlineLevel="0" r="30">
      <c r="A30" s="17" t="n">
        <f aca="false" ca="false" dt2D="false" dtr="false" t="normal">SUM(A29+1)</f>
        <v>6</v>
      </c>
      <c r="B30" s="144" t="s">
        <v>235</v>
      </c>
      <c r="C30" s="1421" t="s"/>
      <c r="D30" s="1422" t="s"/>
      <c r="E30" s="1423" t="s"/>
      <c r="F30" s="1425" t="s"/>
      <c r="G30" s="1426" t="s"/>
      <c r="H30" s="1427" t="s"/>
      <c r="I30" s="1429" t="s"/>
      <c r="J30" s="1431" t="s"/>
      <c r="K30" s="285" t="n">
        <f aca="false" ca="false" dt2D="false" dtr="false" t="normal">L10</f>
        <v>946.1876768750001</v>
      </c>
    </row>
    <row customHeight="true" hidden="false" ht="15.75" outlineLevel="0" r="31">
      <c r="A31" s="124" t="n"/>
      <c r="B31" s="276" t="s">
        <v>236</v>
      </c>
      <c r="C31" s="1435" t="s"/>
      <c r="D31" s="1436" t="s"/>
      <c r="E31" s="1437" t="s"/>
      <c r="F31" s="1438" t="s"/>
      <c r="G31" s="1440" t="s"/>
      <c r="H31" s="1441" t="s"/>
      <c r="I31" s="1442" t="s"/>
      <c r="J31" s="1443" t="s"/>
      <c r="K31" s="395" t="n">
        <f aca="false" ca="false" dt2D="false" dtr="false" t="normal">SUM(K30*K29)</f>
        <v>1834.5206571011106</v>
      </c>
    </row>
    <row hidden="false" ht="15.75" outlineLevel="0"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</row>
    <row customHeight="true" hidden="false" ht="46.5" outlineLevel="0" r="33">
      <c r="A33" s="403" t="s">
        <v>264</v>
      </c>
      <c r="B33" s="403" t="s"/>
      <c r="C33" s="403" t="s"/>
      <c r="D33" s="403" t="s"/>
      <c r="E33" s="403" t="s"/>
      <c r="F33" s="403" t="s"/>
      <c r="G33" s="403" t="s"/>
      <c r="H33" s="403" t="s"/>
      <c r="I33" s="403" t="s"/>
      <c r="J33" s="403" t="s"/>
      <c r="K33" s="403" t="s"/>
    </row>
    <row customHeight="true" hidden="false" ht="31.5" outlineLevel="0" r="34">
      <c r="A34" s="169" t="s">
        <v>239</v>
      </c>
      <c r="B34" s="169" t="s">
        <v>240</v>
      </c>
      <c r="C34" s="1451" t="s"/>
      <c r="D34" s="1452" t="s"/>
      <c r="E34" s="1453" t="s"/>
      <c r="F34" s="1454" t="s"/>
      <c r="G34" s="1455" t="s"/>
      <c r="H34" s="1456" t="s"/>
      <c r="I34" s="1457" t="s"/>
      <c r="J34" s="1458" t="s"/>
      <c r="K34" s="417" t="s">
        <v>241</v>
      </c>
    </row>
    <row customHeight="true" hidden="false" ht="15.75" outlineLevel="0" r="35">
      <c r="A35" s="67" t="n">
        <v>1</v>
      </c>
      <c r="B35" s="177" t="s">
        <v>242</v>
      </c>
      <c r="C35" s="1459" t="s"/>
      <c r="D35" s="1461" t="s"/>
      <c r="E35" s="1463" t="s"/>
      <c r="F35" s="1465" t="s"/>
      <c r="G35" s="1467" t="s"/>
      <c r="H35" s="1469" t="s"/>
      <c r="I35" s="1471" t="s"/>
      <c r="J35" s="1473" t="s"/>
      <c r="K35" s="567" t="n">
        <f aca="false" ca="false" dt2D="false" dtr="false" t="normal">SUM(L10)</f>
        <v>946.1876768750001</v>
      </c>
    </row>
    <row customHeight="true" hidden="false" ht="34.5" outlineLevel="0" r="36">
      <c r="A36" s="15" t="n">
        <v>2</v>
      </c>
      <c r="B36" s="177" t="s">
        <v>244</v>
      </c>
      <c r="C36" s="1482" t="s"/>
      <c r="D36" s="1484" t="s"/>
      <c r="E36" s="1485" t="s"/>
      <c r="F36" s="1486" t="s"/>
      <c r="G36" s="1487" t="s"/>
      <c r="H36" s="1488" t="s"/>
      <c r="I36" s="1489" t="s"/>
      <c r="J36" s="1490" t="s"/>
      <c r="K36" s="567" t="n">
        <f aca="false" ca="false" dt2D="false" dtr="false" t="normal">SUM(M16)</f>
        <v>106.875</v>
      </c>
    </row>
    <row customHeight="true" hidden="false" ht="38.25" outlineLevel="0" r="37">
      <c r="A37" s="15" t="n">
        <v>3</v>
      </c>
      <c r="B37" s="177" t="s">
        <v>245</v>
      </c>
      <c r="C37" s="1498" t="s"/>
      <c r="D37" s="1500" t="s"/>
      <c r="E37" s="1501" t="s"/>
      <c r="F37" s="1502" t="s"/>
      <c r="G37" s="1503" t="s"/>
      <c r="H37" s="1504" t="s"/>
      <c r="I37" s="1505" t="s"/>
      <c r="J37" s="1506" t="s"/>
      <c r="K37" s="567" t="n">
        <f aca="false" ca="false" dt2D="false" dtr="false" t="normal">SUM(K31)</f>
        <v>1834.5206571011106</v>
      </c>
    </row>
    <row customHeight="true" hidden="false" ht="15.75" outlineLevel="0" r="38">
      <c r="A38" s="15" t="n">
        <v>4</v>
      </c>
      <c r="B38" s="189" t="s">
        <v>247</v>
      </c>
      <c r="C38" s="1491" t="s"/>
      <c r="D38" s="1492" t="s"/>
      <c r="E38" s="1493" t="s"/>
      <c r="F38" s="1494" t="s"/>
      <c r="G38" s="1495" t="s"/>
      <c r="H38" s="1496" t="s"/>
      <c r="I38" s="1497" t="s"/>
      <c r="J38" s="1499" t="s"/>
      <c r="K38" s="567" t="n">
        <f aca="false" ca="false" dt2D="false" dtr="false" t="normal">SUM(K35:K37)</f>
        <v>2887.5833339761107</v>
      </c>
    </row>
    <row customHeight="true" hidden="false" ht="15.75" outlineLevel="0" r="39">
      <c r="A39" s="15" t="n">
        <v>5</v>
      </c>
      <c r="B39" s="189" t="s">
        <v>208</v>
      </c>
      <c r="C39" s="1507" t="s"/>
      <c r="D39" s="1508" t="s"/>
      <c r="E39" s="1509" t="s"/>
      <c r="F39" s="1510" t="s"/>
      <c r="G39" s="1511" t="s"/>
      <c r="H39" s="1512" t="s"/>
      <c r="I39" s="1513" t="s"/>
      <c r="J39" s="1515" t="s"/>
      <c r="K39" s="567" t="n">
        <f aca="false" ca="false" dt2D="false" dtr="false" t="normal">SUM(K38*0.22)</f>
        <v>635.2683334747444</v>
      </c>
    </row>
    <row customHeight="true" hidden="false" ht="15.75" outlineLevel="0" r="40">
      <c r="A40" s="67" t="n"/>
      <c r="B40" s="177" t="s">
        <v>262</v>
      </c>
      <c r="C40" s="1514" t="s"/>
      <c r="D40" s="1516" t="s"/>
      <c r="E40" s="1517" t="s"/>
      <c r="F40" s="1518" t="s"/>
      <c r="G40" s="1519" t="s"/>
      <c r="H40" s="1520" t="s"/>
      <c r="I40" s="1521" t="s"/>
      <c r="J40" s="1522" t="s"/>
      <c r="K40" s="1523" t="n">
        <f aca="false" ca="false" dt2D="false" dtr="false" t="normal">SUM(K38:K39)-23</f>
        <v>3499.851667450855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57">
    <mergeCell ref="A6:N6"/>
    <mergeCell ref="L8:N8"/>
    <mergeCell ref="B8:C8"/>
    <mergeCell ref="D8:F8"/>
    <mergeCell ref="I8:K8"/>
    <mergeCell ref="I9:K9"/>
    <mergeCell ref="L9:N9"/>
    <mergeCell ref="L10:N10"/>
    <mergeCell ref="I10:K10"/>
    <mergeCell ref="G8:H8"/>
    <mergeCell ref="G9:H9"/>
    <mergeCell ref="D9:F9"/>
    <mergeCell ref="B9:C9"/>
    <mergeCell ref="G10:H10"/>
    <mergeCell ref="D10:F10"/>
    <mergeCell ref="B10:C10"/>
    <mergeCell ref="B13:C13"/>
    <mergeCell ref="D13:F13"/>
    <mergeCell ref="B14:C14"/>
    <mergeCell ref="D14:F14"/>
    <mergeCell ref="H13:I13"/>
    <mergeCell ref="H14:I14"/>
    <mergeCell ref="J13:L13"/>
    <mergeCell ref="M13:N13"/>
    <mergeCell ref="J14:L14"/>
    <mergeCell ref="M14:N14"/>
    <mergeCell ref="M15:N15"/>
    <mergeCell ref="M16:N16"/>
    <mergeCell ref="J15:L15"/>
    <mergeCell ref="J16:L16"/>
    <mergeCell ref="H15:I15"/>
    <mergeCell ref="D15:F15"/>
    <mergeCell ref="B15:C15"/>
    <mergeCell ref="D16:F16"/>
    <mergeCell ref="B16:C16"/>
    <mergeCell ref="H16:I16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A33:K33"/>
    <mergeCell ref="B34:J34"/>
    <mergeCell ref="B35:J35"/>
    <mergeCell ref="B36:J36"/>
    <mergeCell ref="B37:J37"/>
    <mergeCell ref="B38:J38"/>
    <mergeCell ref="B39:J39"/>
    <mergeCell ref="B40:J40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8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W54"/>
  <sheetViews>
    <sheetView showZeros="true" workbookViewId="0"/>
  </sheetViews>
  <sheetFormatPr baseColWidth="8" customHeight="false" defaultColWidth="9.01358353688254" defaultRowHeight="12.75" zeroHeight="false"/>
  <cols>
    <col customWidth="true" hidden="false" max="1" min="1" outlineLevel="0" style="93" width="3.51202187927726"/>
    <col customWidth="true" hidden="false" max="2" min="2" outlineLevel="0" style="93" width="12.962912175516"/>
    <col customWidth="true" hidden="false" max="3" min="3" outlineLevel="0" style="93" width="13.9494352133279"/>
    <col customWidth="true" hidden="false" max="4" min="4" outlineLevel="0" style="93" width="13.1010262128073"/>
    <col customWidth="true" hidden="false" max="5" min="5" outlineLevel="0" style="93" width="3.65013523990387"/>
    <col customWidth="true" hidden="false" max="6" min="6" outlineLevel="0" style="93" width="2.94970401839039"/>
    <col customWidth="true" hidden="false" max="7" min="7" outlineLevel="0" style="93" width="10.1414570993718"/>
    <col customWidth="true" hidden="false" max="8" min="8" outlineLevel="0" style="93" width="4.22231853416827"/>
    <col customWidth="true" hidden="false" max="9" min="9" outlineLevel="0" style="93" width="11.2660928211455"/>
    <col customWidth="true" hidden="false" max="10" min="10" outlineLevel="0" style="93" width="1.82506761995193"/>
    <col customWidth="true" hidden="false" max="11" min="11" outlineLevel="0" style="93" width="16.3368220474961"/>
    <col customWidth="true" hidden="false" max="12" min="12" outlineLevel="0" style="93" width="1.82506761995193"/>
    <col bestFit="true" customWidth="true" hidden="false" max="13" min="13" outlineLevel="0" style="93" width="9.01682070093331"/>
    <col customWidth="true" hidden="false" max="14" min="14" outlineLevel="0" style="93" width="8.58275042896314"/>
    <col customWidth="true" hidden="false" max="15" min="15" outlineLevel="0" style="93" width="4.63665827771572"/>
    <col customWidth="true" hidden="false" max="16" min="16" outlineLevel="0" style="93" width="5.33708949922919"/>
    <col customWidth="true" hidden="false" max="17" min="17" outlineLevel="0" style="93" width="4.63665827771572"/>
    <col bestFit="true" customWidth="true" hidden="false" max="257" min="18" outlineLevel="0" style="93" width="9.01682070093331"/>
  </cols>
  <sheetData>
    <row customHeight="true" hidden="false" ht="12.75" outlineLevel="0" r="1">
      <c r="B1" s="1524" t="n"/>
      <c r="C1" s="1524" t="n"/>
      <c r="D1" s="1524" t="n"/>
      <c r="E1" s="1524" t="n"/>
      <c r="F1" s="1524" t="n"/>
      <c r="G1" s="1524" t="n"/>
      <c r="H1" s="101" t="s">
        <v>175</v>
      </c>
      <c r="I1" s="101" t="n"/>
      <c r="J1" s="4" t="n"/>
      <c r="K1" s="104" t="n"/>
      <c r="L1" s="104" t="n"/>
      <c r="M1" s="104" t="n"/>
      <c r="N1" s="104" t="n"/>
    </row>
    <row customHeight="true" hidden="false" ht="12.75" outlineLevel="0" r="2">
      <c r="B2" s="1524" t="n"/>
      <c r="C2" s="1524" t="n"/>
      <c r="D2" s="1524" t="n"/>
      <c r="E2" s="1524" t="n"/>
      <c r="F2" s="1524" t="n"/>
      <c r="G2" s="1524" t="n"/>
      <c r="H2" s="105" t="s">
        <v>176</v>
      </c>
      <c r="I2" s="4" t="n"/>
      <c r="J2" s="4" t="n"/>
      <c r="K2" s="4" t="n"/>
      <c r="L2" s="4" t="n"/>
      <c r="M2" s="4" t="n"/>
      <c r="N2" s="4" t="n"/>
    </row>
    <row customHeight="true" hidden="false" ht="12.75" outlineLevel="0" r="3">
      <c r="B3" s="1524" t="n"/>
      <c r="C3" s="1524" t="n"/>
      <c r="D3" s="1524" t="n"/>
      <c r="E3" s="1524" t="n"/>
      <c r="F3" s="1524" t="n"/>
      <c r="G3" s="1524" t="n"/>
      <c r="H3" s="101" t="s">
        <v>226</v>
      </c>
      <c r="I3" s="101" t="s"/>
      <c r="J3" s="101" t="s"/>
      <c r="K3" s="101" t="s"/>
      <c r="L3" s="101" t="s"/>
      <c r="M3" s="101" t="s"/>
      <c r="N3" s="101" t="s"/>
    </row>
    <row customHeight="true" hidden="false" ht="12.75" outlineLevel="0" r="4">
      <c r="B4" s="1524" t="n"/>
      <c r="C4" s="1524" t="n"/>
      <c r="D4" s="1524" t="n"/>
      <c r="E4" s="1524" t="n"/>
      <c r="F4" s="1524" t="n"/>
      <c r="G4" s="1524" t="n"/>
      <c r="H4" s="105" t="s">
        <v>178</v>
      </c>
      <c r="I4" s="105" t="n"/>
      <c r="J4" s="4" t="n"/>
      <c r="K4" s="4" t="n"/>
      <c r="L4" s="4" t="n"/>
      <c r="M4" s="4" t="n"/>
      <c r="N4" s="4" t="n"/>
    </row>
    <row customHeight="true" hidden="false" ht="12.75" outlineLevel="0" r="5">
      <c r="C5" s="842" t="n"/>
      <c r="D5" s="842" t="n"/>
      <c r="E5" s="842" t="n"/>
      <c r="F5" s="842" t="n"/>
      <c r="G5" s="842" t="n"/>
      <c r="H5" s="1533" t="n"/>
      <c r="I5" s="398" t="n"/>
      <c r="K5" s="398" t="n"/>
      <c r="L5" s="398" t="n"/>
      <c r="M5" s="398" t="n"/>
      <c r="N5" s="398" t="n"/>
    </row>
    <row customHeight="true" hidden="false" ht="51" outlineLevel="0" r="6">
      <c r="A6" s="403" t="s">
        <v>265</v>
      </c>
      <c r="B6" s="403" t="s"/>
      <c r="C6" s="403" t="s"/>
      <c r="D6" s="403" t="s"/>
      <c r="E6" s="403" t="s"/>
      <c r="F6" s="403" t="s"/>
      <c r="G6" s="403" t="s"/>
      <c r="H6" s="403" t="s"/>
      <c r="I6" s="403" t="s"/>
      <c r="J6" s="403" t="s"/>
      <c r="K6" s="403" t="s"/>
      <c r="L6" s="403" t="s"/>
      <c r="M6" s="403" t="s"/>
      <c r="N6" s="403" t="s"/>
    </row>
    <row customHeight="true" hidden="false" ht="12.75" outlineLevel="0" r="7">
      <c r="A7" s="4" t="n"/>
      <c r="B7" s="101" t="s">
        <v>232</v>
      </c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</row>
    <row customHeight="true" hidden="false" ht="126.75" outlineLevel="0" r="8">
      <c r="A8" s="124" t="n"/>
      <c r="B8" s="129" t="s">
        <v>184</v>
      </c>
      <c r="C8" s="1548" t="s"/>
      <c r="D8" s="129" t="s">
        <v>233</v>
      </c>
      <c r="E8" s="1551" t="s"/>
      <c r="F8" s="1552" t="s"/>
      <c r="G8" s="129" t="s">
        <v>186</v>
      </c>
      <c r="H8" s="1553" t="s"/>
      <c r="I8" s="129" t="s">
        <v>187</v>
      </c>
      <c r="J8" s="1554" t="s"/>
      <c r="K8" s="1555" t="s"/>
      <c r="L8" s="129" t="s">
        <v>266</v>
      </c>
      <c r="M8" s="1556" t="s"/>
      <c r="N8" s="1557" t="s"/>
      <c r="O8" s="4" t="n"/>
    </row>
    <row customHeight="true" hidden="false" ht="15.75" outlineLevel="0" r="9">
      <c r="A9" s="17" t="n">
        <v>1</v>
      </c>
      <c r="B9" s="144" t="s">
        <v>189</v>
      </c>
      <c r="C9" s="1558" t="s"/>
      <c r="D9" s="153" t="n">
        <f aca="false" ca="false" dt2D="false" dtr="false" t="normal">68227*1.302</f>
        <v>88831.554</v>
      </c>
      <c r="E9" s="1567" t="s"/>
      <c r="F9" s="1568" t="s"/>
      <c r="G9" s="159" t="n">
        <v>9600</v>
      </c>
      <c r="H9" s="1569" t="s"/>
      <c r="I9" s="159" t="n">
        <f aca="false" ca="false" dt2D="false" dtr="false" t="normal">60*13.2</f>
        <v>792</v>
      </c>
      <c r="J9" s="1577" t="s"/>
      <c r="K9" s="1579" t="s"/>
      <c r="L9" s="164" t="n">
        <f aca="false" ca="false" dt2D="false" dtr="false" t="normal">D9/G9*I9</f>
        <v>7328.603205</v>
      </c>
      <c r="M9" s="1580" t="s"/>
      <c r="N9" s="1581" t="s"/>
      <c r="O9" s="4" t="n"/>
    </row>
    <row customHeight="true" hidden="false" ht="15.75" outlineLevel="0" r="10">
      <c r="A10" s="124" t="n"/>
      <c r="B10" s="144" t="s">
        <v>183</v>
      </c>
      <c r="C10" s="1590" t="s"/>
      <c r="D10" s="153" t="n">
        <f aca="false" ca="false" dt2D="false" dtr="false" t="normal">SUM(D9:F9)</f>
        <v>88831.554</v>
      </c>
      <c r="E10" s="1591" t="s"/>
      <c r="F10" s="1592" t="s"/>
      <c r="G10" s="384" t="n">
        <f aca="false" ca="false" dt2D="false" dtr="false" t="normal">SUM(G9:H9)</f>
        <v>9600</v>
      </c>
      <c r="H10" s="1593" t="s"/>
      <c r="I10" s="384" t="n">
        <f aca="false" ca="false" dt2D="false" dtr="false" t="normal">SUM(I9:K9)</f>
        <v>792</v>
      </c>
      <c r="J10" s="1595" t="s"/>
      <c r="K10" s="1597" t="s"/>
      <c r="L10" s="630" t="n">
        <f aca="false" ca="false" dt2D="false" dtr="false" t="normal">SUM(L9:N9)</f>
        <v>7328.603205</v>
      </c>
      <c r="M10" s="1604" t="s"/>
      <c r="N10" s="1605" t="s"/>
      <c r="O10" s="4" t="n"/>
    </row>
    <row customHeight="true" hidden="false" ht="12.75" outlineLevel="0" r="11">
      <c r="A11" s="3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</row>
    <row customHeight="true" hidden="false" ht="12.75" outlineLevel="0" r="12">
      <c r="A12" s="4" t="n"/>
      <c r="B12" s="444" t="s">
        <v>198</v>
      </c>
      <c r="C12" s="1614" t="s"/>
      <c r="D12" s="1615" t="s"/>
      <c r="E12" s="1616" t="s"/>
      <c r="F12" s="1617" t="s"/>
      <c r="G12" s="1618" t="s"/>
      <c r="H12" s="1619" t="s"/>
      <c r="I12" s="1620" t="s"/>
      <c r="J12" s="1621" t="s"/>
      <c r="K12" s="1622" t="s"/>
      <c r="L12" s="1623" t="s"/>
      <c r="M12" s="1624" t="s"/>
      <c r="N12" s="1625" t="s"/>
      <c r="O12" s="4" t="n"/>
    </row>
    <row customHeight="true" hidden="false" ht="66" outlineLevel="0" r="13">
      <c r="A13" s="196" t="n"/>
      <c r="B13" s="129" t="s">
        <v>200</v>
      </c>
      <c r="C13" s="1626" t="s"/>
      <c r="D13" s="129" t="s">
        <v>201</v>
      </c>
      <c r="E13" s="1631" t="s"/>
      <c r="F13" s="1634" t="s"/>
      <c r="G13" s="129" t="s">
        <v>202</v>
      </c>
      <c r="H13" s="1637" t="s"/>
      <c r="I13" s="129" t="s">
        <v>267</v>
      </c>
      <c r="J13" s="1638" t="s"/>
      <c r="K13" s="1639" t="s"/>
      <c r="L13" s="129" t="s">
        <v>268</v>
      </c>
      <c r="M13" s="1640" t="s"/>
      <c r="N13" s="1641" t="s"/>
      <c r="O13" s="4" t="n"/>
    </row>
    <row customHeight="true" hidden="false" ht="15.75" outlineLevel="0" r="14">
      <c r="A14" s="17" t="n">
        <v>1</v>
      </c>
      <c r="B14" s="32" t="s">
        <v>205</v>
      </c>
      <c r="C14" s="1647" t="s"/>
      <c r="D14" s="95" t="s">
        <v>207</v>
      </c>
      <c r="E14" s="1651" t="s"/>
      <c r="F14" s="1652" t="s"/>
      <c r="G14" s="95" t="n">
        <v>10</v>
      </c>
      <c r="H14" s="1653" t="s"/>
      <c r="I14" s="159" t="n">
        <f aca="false" ca="false" dt2D="false" dtr="false" t="normal">587/500</f>
        <v>1.174</v>
      </c>
      <c r="J14" s="1654" t="s"/>
      <c r="K14" s="1655" t="s"/>
      <c r="L14" s="95" t="n">
        <f aca="false" ca="false" dt2D="false" dtr="false" t="normal">G14*I14</f>
        <v>11.739999999999998</v>
      </c>
      <c r="M14" s="1656" t="s"/>
      <c r="N14" s="1657" t="s"/>
      <c r="O14" s="4" t="n"/>
    </row>
    <row customHeight="true" hidden="false" ht="15.75" outlineLevel="0" r="15">
      <c r="A15" s="17" t="n">
        <v>2</v>
      </c>
      <c r="B15" s="32" t="s">
        <v>209</v>
      </c>
      <c r="C15" s="1658" t="s"/>
      <c r="D15" s="95" t="s">
        <v>210</v>
      </c>
      <c r="E15" s="1659" t="s"/>
      <c r="F15" s="1660" t="s"/>
      <c r="G15" s="95" t="n">
        <v>0.08</v>
      </c>
      <c r="H15" s="1661" t="s"/>
      <c r="I15" s="159" t="n">
        <f aca="false" ca="false" dt2D="false" dtr="false" t="normal">1250</f>
        <v>1250</v>
      </c>
      <c r="J15" s="1662" t="s"/>
      <c r="K15" s="1663" t="s"/>
      <c r="L15" s="95" t="n">
        <f aca="false" ca="false" dt2D="false" dtr="false" t="normal">G15*I15</f>
        <v>100</v>
      </c>
      <c r="M15" s="1664" t="s"/>
      <c r="N15" s="1665" t="s"/>
      <c r="O15" s="4" t="n"/>
      <c r="S15" s="511" t="n"/>
    </row>
    <row customHeight="true" hidden="false" ht="17.25" outlineLevel="0" r="16">
      <c r="A16" s="124" t="n"/>
      <c r="B16" s="32" t="n"/>
      <c r="C16" s="1674" t="s"/>
      <c r="D16" s="95" t="n"/>
      <c r="E16" s="1675" t="s"/>
      <c r="F16" s="1676" t="s"/>
      <c r="G16" s="95" t="n"/>
      <c r="H16" s="1677" t="s"/>
      <c r="I16" s="95" t="n"/>
      <c r="J16" s="1678" t="s"/>
      <c r="K16" s="1679" t="s"/>
      <c r="L16" s="136" t="n">
        <f aca="false" ca="false" dt2D="false" dtr="false" t="normal">SUM(L14:N15)</f>
        <v>111.74</v>
      </c>
      <c r="M16" s="1688" t="s"/>
      <c r="N16" s="1689" t="s"/>
      <c r="O16" s="4" t="n"/>
    </row>
    <row hidden="false" ht="15.75" outlineLevel="0" r="17">
      <c r="A17" s="4" t="n"/>
      <c r="B17" s="119" t="n"/>
      <c r="C17" s="119" t="n"/>
      <c r="D17" s="119" t="n"/>
      <c r="E17" s="119" t="n"/>
      <c r="F17" s="119" t="n"/>
      <c r="G17" s="119" t="n"/>
      <c r="H17" s="119" t="n"/>
      <c r="I17" s="119" t="n"/>
      <c r="J17" s="119" t="n"/>
      <c r="K17" s="119" t="n"/>
      <c r="L17" s="253" t="n"/>
      <c r="M17" s="253" t="n"/>
      <c r="N17" s="253" t="n"/>
      <c r="O17" s="4" t="n"/>
    </row>
    <row hidden="false" ht="15.75" outlineLevel="0" r="18">
      <c r="A18" s="4" t="n"/>
      <c r="B18" s="105" t="s">
        <v>212</v>
      </c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</row>
    <row customHeight="true" hidden="false" ht="76.5" outlineLevel="0" r="19">
      <c r="A19" s="124" t="n"/>
      <c r="B19" s="129" t="s">
        <v>213</v>
      </c>
      <c r="C19" s="1706" t="s"/>
      <c r="D19" s="129" t="s">
        <v>214</v>
      </c>
      <c r="E19" s="1707" t="s"/>
      <c r="F19" s="1708" t="s"/>
      <c r="G19" s="1189" t="s">
        <v>215</v>
      </c>
      <c r="H19" s="417" t="s">
        <v>216</v>
      </c>
      <c r="I19" s="1709" t="s"/>
      <c r="J19" s="353" t="s">
        <v>217</v>
      </c>
      <c r="K19" s="1712" t="s"/>
      <c r="L19" s="1714" t="s"/>
      <c r="M19" s="353" t="s">
        <v>218</v>
      </c>
      <c r="N19" s="1720" t="s"/>
      <c r="O19" s="4" t="n"/>
    </row>
    <row customHeight="true" hidden="false" ht="12.75" outlineLevel="0" r="20">
      <c r="A20" s="17" t="n">
        <v>1</v>
      </c>
      <c r="B20" s="32" t="s">
        <v>173</v>
      </c>
      <c r="C20" s="1721" t="s"/>
      <c r="D20" s="95" t="n">
        <v>70000</v>
      </c>
      <c r="E20" s="1722" t="s"/>
      <c r="F20" s="1723" t="s"/>
      <c r="G20" s="98" t="n">
        <v>0.3</v>
      </c>
      <c r="H20" s="99" t="s">
        <v>174</v>
      </c>
      <c r="I20" s="1728" t="s"/>
      <c r="J20" s="95" t="n">
        <v>13</v>
      </c>
      <c r="K20" s="1733" t="s"/>
      <c r="L20" s="1734" t="s"/>
      <c r="M20" s="106" t="n">
        <f aca="false" ca="false" dt2D="false" dtr="false" t="normal">D20*G20/H20*J20</f>
        <v>170.625</v>
      </c>
      <c r="N20" s="1735" t="s"/>
      <c r="O20" s="4" t="n"/>
    </row>
    <row customHeight="true" hidden="false" ht="12.75" outlineLevel="0" r="21">
      <c r="A21" s="17" t="n">
        <v>2</v>
      </c>
      <c r="B21" s="32" t="s">
        <v>179</v>
      </c>
      <c r="C21" s="1744" t="s"/>
      <c r="D21" s="95" t="n">
        <v>17856</v>
      </c>
      <c r="E21" s="1745" t="s"/>
      <c r="F21" s="1746" t="s"/>
      <c r="G21" s="98" t="n">
        <v>0.3</v>
      </c>
      <c r="H21" s="99" t="s">
        <v>174</v>
      </c>
      <c r="I21" s="1747" t="s"/>
      <c r="J21" s="95" t="n">
        <v>0.5</v>
      </c>
      <c r="K21" s="1748" t="s"/>
      <c r="L21" s="1749" t="s"/>
      <c r="M21" s="106" t="n">
        <f aca="false" ca="false" dt2D="false" dtr="false" t="normal">D21*G21/H21*J21</f>
        <v>1.6740000000000002</v>
      </c>
      <c r="N21" s="1752" t="s"/>
      <c r="O21" s="4" t="n"/>
    </row>
    <row customHeight="true" hidden="false" ht="21" outlineLevel="0" r="22">
      <c r="A22" s="124" t="n"/>
      <c r="B22" s="95" t="n"/>
      <c r="C22" s="1759" t="s"/>
      <c r="D22" s="95" t="n"/>
      <c r="E22" s="1760" t="s"/>
      <c r="F22" s="1761" t="s"/>
      <c r="G22" s="98" t="n"/>
      <c r="H22" s="99" t="n"/>
      <c r="I22" s="1762" t="s"/>
      <c r="J22" s="95" t="n"/>
      <c r="K22" s="1763" t="s"/>
      <c r="L22" s="1765" t="s"/>
      <c r="M22" s="136" t="n">
        <f aca="false" ca="false" dt2D="false" dtr="false" t="normal">SUM(M20:N21)</f>
        <v>172.299</v>
      </c>
      <c r="N22" s="1766" t="s"/>
      <c r="O22" s="4" t="n"/>
    </row>
    <row hidden="false" ht="15.75" outlineLevel="0" r="23">
      <c r="A23" s="4" t="n"/>
      <c r="B23" s="4" t="n"/>
      <c r="C23" s="4" t="n"/>
      <c r="D23" s="4" t="n"/>
      <c r="E23" s="4" t="n"/>
      <c r="F23" s="4" t="n"/>
      <c r="G23" s="4" t="n"/>
      <c r="H23" s="4" t="n"/>
      <c r="I23" s="558" t="n"/>
      <c r="J23" s="119" t="n"/>
      <c r="K23" s="119" t="n"/>
      <c r="L23" s="4" t="n"/>
      <c r="M23" s="4" t="n"/>
      <c r="N23" s="4" t="n"/>
      <c r="O23" s="4" t="n"/>
    </row>
    <row customFormat="true" customHeight="true" hidden="false" ht="12.75" outlineLevel="0" r="24" s="93">
      <c r="A24" s="4" t="n"/>
      <c r="B24" s="101" t="s">
        <v>219</v>
      </c>
      <c r="C24" s="119" t="n"/>
      <c r="D24" s="119" t="n"/>
      <c r="E24" s="119" t="n"/>
      <c r="F24" s="119" t="n"/>
      <c r="G24" s="119" t="n"/>
      <c r="H24" s="119" t="n"/>
      <c r="I24" s="119" t="n"/>
      <c r="J24" s="4" t="n"/>
      <c r="K24" s="4" t="n"/>
      <c r="L24" s="4" t="n"/>
      <c r="M24" s="4" t="n"/>
      <c r="N24" s="4" t="n"/>
      <c r="O24" s="4" t="n"/>
    </row>
    <row customFormat="true" hidden="false" ht="15.75" outlineLevel="0" r="25" s="93">
      <c r="A25" s="20" t="n"/>
      <c r="B25" s="266" t="s">
        <v>220</v>
      </c>
      <c r="C25" s="1767" t="s"/>
      <c r="D25" s="1768" t="s"/>
      <c r="E25" s="1769" t="s"/>
      <c r="F25" s="1770" t="s"/>
      <c r="G25" s="1771" t="s"/>
      <c r="H25" s="1772" t="s"/>
      <c r="I25" s="1773" t="s"/>
      <c r="J25" s="1774" t="s"/>
      <c r="K25" s="275" t="s">
        <v>270</v>
      </c>
      <c r="L25" s="4" t="n"/>
      <c r="M25" s="4" t="n"/>
      <c r="N25" s="4" t="n"/>
      <c r="O25" s="4" t="n"/>
    </row>
    <row customFormat="true" customHeight="true" hidden="false" ht="15.75" outlineLevel="0" r="26" s="93">
      <c r="A26" s="17" t="n">
        <v>1</v>
      </c>
      <c r="B26" s="276" t="s">
        <v>222</v>
      </c>
      <c r="C26" s="1775" t="s"/>
      <c r="D26" s="1776" t="s"/>
      <c r="E26" s="1777" t="s"/>
      <c r="F26" s="1778" t="s"/>
      <c r="G26" s="1779" t="s"/>
      <c r="H26" s="1780" t="s"/>
      <c r="I26" s="1781" t="s"/>
      <c r="J26" s="1782" t="s"/>
      <c r="K26" s="285" t="n">
        <f aca="false" ca="false" dt2D="false" dtr="false" t="normal">SUM(K27:K28)</f>
        <v>102768.76527840368</v>
      </c>
      <c r="L26" s="4" t="n"/>
      <c r="M26" s="4" t="n"/>
      <c r="N26" s="4" t="n"/>
      <c r="O26" s="4" t="n"/>
    </row>
    <row customFormat="true" customHeight="true" hidden="false" ht="33" outlineLevel="0" r="27" s="93">
      <c r="A27" s="17" t="n"/>
      <c r="B27" s="144" t="s">
        <v>223</v>
      </c>
      <c r="C27" s="1783" t="s"/>
      <c r="D27" s="1784" t="s"/>
      <c r="E27" s="1785" t="s"/>
      <c r="F27" s="1786" t="s"/>
      <c r="G27" s="1787" t="s"/>
      <c r="H27" s="1788" t="s"/>
      <c r="I27" s="1789" t="s"/>
      <c r="J27" s="1790" t="s"/>
      <c r="K27" s="285" t="n">
        <f aca="false" ca="false" dt2D="false" dtr="false" t="normal">(15990207-D10)*1.302/218</f>
        <v>94970.600140789</v>
      </c>
      <c r="L27" s="4" t="n"/>
      <c r="M27" s="4" t="n"/>
      <c r="N27" s="4" t="n"/>
      <c r="O27" s="4" t="n"/>
    </row>
    <row customFormat="true" customHeight="true" hidden="false" ht="31.5" outlineLevel="0" r="28" s="93">
      <c r="A28" s="17" t="n"/>
      <c r="B28" s="144" t="s">
        <v>224</v>
      </c>
      <c r="C28" s="1525" t="s"/>
      <c r="D28" s="1526" t="s"/>
      <c r="E28" s="1527" t="s"/>
      <c r="F28" s="1528" t="s"/>
      <c r="G28" s="1529" t="s"/>
      <c r="H28" s="1530" t="s"/>
      <c r="I28" s="1531" t="s"/>
      <c r="J28" s="1532" t="s"/>
      <c r="K28" s="285" t="n">
        <f aca="false" ca="false" dt2D="false" dtr="false" t="normal">(200000+1500000)/218</f>
        <v>7798.165137614679</v>
      </c>
      <c r="L28" s="4" t="n"/>
      <c r="M28" s="4" t="n"/>
      <c r="N28" s="4" t="n"/>
      <c r="O28" s="4" t="n"/>
    </row>
    <row customFormat="true" customHeight="true" hidden="false" ht="12.75" outlineLevel="0" r="29" s="93">
      <c r="A29" s="17" t="n">
        <v>2</v>
      </c>
      <c r="B29" s="144" t="s">
        <v>225</v>
      </c>
      <c r="C29" s="1534" t="s"/>
      <c r="D29" s="1535" t="s"/>
      <c r="E29" s="1536" t="s"/>
      <c r="F29" s="1537" t="s"/>
      <c r="G29" s="1538" t="s"/>
      <c r="H29" s="1539" t="s"/>
      <c r="I29" s="1540" t="s"/>
      <c r="J29" s="1541" t="s"/>
      <c r="K29" s="285" t="n">
        <f aca="false" ca="false" dt2D="false" dtr="false" t="normal">SUM(K30:K31)</f>
        <v>68104.96788990825</v>
      </c>
      <c r="L29" s="4" t="n"/>
      <c r="M29" s="4" t="n"/>
      <c r="N29" s="4" t="n"/>
      <c r="O29" s="4" t="n"/>
    </row>
    <row customFormat="true" customHeight="true" hidden="false" ht="16.5" outlineLevel="0" r="30" s="93">
      <c r="A30" s="17" t="n"/>
      <c r="B30" s="310" t="s">
        <v>227</v>
      </c>
      <c r="C30" s="1542" t="s"/>
      <c r="D30" s="1543" t="s"/>
      <c r="E30" s="1544" t="s"/>
      <c r="F30" s="1545" t="s"/>
      <c r="G30" s="1546" t="s"/>
      <c r="H30" s="1547" t="s"/>
      <c r="I30" s="1549" t="s"/>
      <c r="J30" s="1550" t="s"/>
      <c r="K30" s="285" t="n">
        <f aca="false" ca="false" dt2D="false" dtr="false" t="normal">2000000/218</f>
        <v>9174.311926605504</v>
      </c>
      <c r="L30" s="4" t="n"/>
      <c r="M30" s="4" t="n"/>
      <c r="N30" s="4" t="n"/>
      <c r="O30" s="4" t="n"/>
    </row>
    <row customFormat="true" customHeight="true" hidden="false" ht="15" outlineLevel="0" r="31" s="93">
      <c r="A31" s="17" t="n"/>
      <c r="B31" s="310" t="s">
        <v>228</v>
      </c>
      <c r="C31" s="1559" t="s"/>
      <c r="D31" s="1560" t="s"/>
      <c r="E31" s="1561" t="s"/>
      <c r="F31" s="1562" t="s"/>
      <c r="G31" s="1563" t="s"/>
      <c r="H31" s="1564" t="s"/>
      <c r="I31" s="1565" t="s"/>
      <c r="J31" s="1566" t="s"/>
      <c r="K31" s="285" t="n">
        <f aca="false" ca="false" dt2D="false" dtr="false" t="normal">(8246883+3800000+800000)/218</f>
        <v>58930.65596330275</v>
      </c>
      <c r="L31" s="4" t="n"/>
      <c r="M31" s="4" t="n"/>
      <c r="N31" s="4" t="n"/>
      <c r="O31" s="4" t="n"/>
    </row>
    <row customFormat="true" customHeight="true" hidden="false" ht="16.5" outlineLevel="0" r="32" s="93">
      <c r="A32" s="17" t="n">
        <v>3</v>
      </c>
      <c r="B32" s="144" t="s">
        <v>230</v>
      </c>
      <c r="C32" s="1570" t="s"/>
      <c r="D32" s="1571" t="s"/>
      <c r="E32" s="1572" t="s"/>
      <c r="F32" s="1573" t="s"/>
      <c r="G32" s="1574" t="s"/>
      <c r="H32" s="1575" t="s"/>
      <c r="I32" s="1576" t="s"/>
      <c r="J32" s="1578" t="s"/>
      <c r="K32" s="285" t="n">
        <f aca="false" ca="false" dt2D="false" dtr="false" t="normal">M22</f>
        <v>172.299</v>
      </c>
      <c r="L32" s="4" t="n"/>
      <c r="M32" s="4" t="n"/>
      <c r="N32" s="4" t="n"/>
      <c r="O32" s="4" t="n"/>
    </row>
    <row customFormat="true" customHeight="true" hidden="false" ht="15.75" outlineLevel="0" r="33" s="93">
      <c r="A33" s="17" t="n"/>
      <c r="B33" s="276" t="s">
        <v>183</v>
      </c>
      <c r="C33" s="1582" t="s"/>
      <c r="D33" s="1583" t="s"/>
      <c r="E33" s="1584" t="s"/>
      <c r="F33" s="1585" t="s"/>
      <c r="G33" s="1586" t="s"/>
      <c r="H33" s="1587" t="s"/>
      <c r="I33" s="1588" t="s"/>
      <c r="J33" s="1589" t="s"/>
      <c r="K33" s="285" t="n">
        <f aca="false" ca="false" dt2D="false" dtr="false" t="normal">K29+K32</f>
        <v>68277.26688990825</v>
      </c>
      <c r="L33" s="4" t="n"/>
      <c r="M33" s="4" t="n"/>
      <c r="N33" s="4" t="n"/>
      <c r="O33" s="4" t="n"/>
    </row>
    <row customFormat="true" customHeight="true" hidden="false" ht="15.75" outlineLevel="0" r="34" s="93">
      <c r="A34" s="17" t="n">
        <v>4</v>
      </c>
      <c r="B34" s="144" t="s">
        <v>231</v>
      </c>
      <c r="C34" s="1594" t="s"/>
      <c r="D34" s="1596" t="s"/>
      <c r="E34" s="1598" t="s"/>
      <c r="F34" s="1599" t="s"/>
      <c r="G34" s="1600" t="s"/>
      <c r="H34" s="1601" t="s"/>
      <c r="I34" s="1602" t="s"/>
      <c r="J34" s="1603" t="s"/>
      <c r="K34" s="285" t="n">
        <f aca="false" ca="false" dt2D="false" dtr="false" t="normal">SUM(D10)</f>
        <v>88831.554</v>
      </c>
      <c r="L34" s="4" t="n"/>
      <c r="M34" s="4" t="n"/>
      <c r="N34" s="4" t="n"/>
      <c r="O34" s="4" t="n"/>
    </row>
    <row customFormat="true" customHeight="true" hidden="false" ht="15.75" outlineLevel="0" r="35" s="93">
      <c r="A35" s="17" t="n">
        <v>5</v>
      </c>
      <c r="B35" s="276" t="s">
        <v>234</v>
      </c>
      <c r="C35" s="1606" t="s"/>
      <c r="D35" s="1607" t="s"/>
      <c r="E35" s="1608" t="s"/>
      <c r="F35" s="1609" t="s"/>
      <c r="G35" s="1610" t="s"/>
      <c r="H35" s="1611" t="s"/>
      <c r="I35" s="1612" t="s"/>
      <c r="J35" s="1613" t="s"/>
      <c r="K35" s="285" t="n">
        <f aca="false" ca="false" dt2D="false" dtr="false" t="normal">(K26+K29+K32)/K34</f>
        <v>1.9255098494428222</v>
      </c>
      <c r="L35" s="4" t="n"/>
      <c r="M35" s="4" t="n"/>
      <c r="N35" s="4" t="n"/>
      <c r="O35" s="4" t="n"/>
    </row>
    <row customFormat="true" customHeight="true" hidden="false" ht="15.75" outlineLevel="0" r="36" s="93">
      <c r="A36" s="17" t="n">
        <f aca="false" ca="false" dt2D="false" dtr="false" t="normal">SUM(A35+1)</f>
        <v>6</v>
      </c>
      <c r="B36" s="144" t="s">
        <v>235</v>
      </c>
      <c r="C36" s="1627" t="s"/>
      <c r="D36" s="1628" t="s"/>
      <c r="E36" s="1629" t="s"/>
      <c r="F36" s="1630" t="s"/>
      <c r="G36" s="1632" t="s"/>
      <c r="H36" s="1633" t="s"/>
      <c r="I36" s="1635" t="s"/>
      <c r="J36" s="1636" t="s"/>
      <c r="K36" s="285" t="n">
        <f aca="false" ca="false" dt2D="false" dtr="false" t="normal">L10</f>
        <v>7328.603205</v>
      </c>
      <c r="L36" s="4" t="n"/>
      <c r="M36" s="4" t="n"/>
      <c r="N36" s="4" t="n"/>
      <c r="O36" s="4" t="n"/>
    </row>
    <row customHeight="true" hidden="false" ht="15.75" outlineLevel="0" r="37">
      <c r="A37" s="383" t="n"/>
      <c r="B37" s="276" t="s">
        <v>236</v>
      </c>
      <c r="C37" s="1642" t="s"/>
      <c r="D37" s="1643" t="s"/>
      <c r="E37" s="1644" t="s"/>
      <c r="F37" s="1645" t="s"/>
      <c r="G37" s="1646" t="s"/>
      <c r="H37" s="1648" t="s"/>
      <c r="I37" s="1649" t="s"/>
      <c r="J37" s="1650" t="s"/>
      <c r="K37" s="395" t="n">
        <f aca="false" ca="false" dt2D="false" dtr="false" t="normal">SUM(K36*K35)</f>
        <v>14111.297653885735</v>
      </c>
      <c r="L37" s="4" t="n"/>
      <c r="M37" s="4" t="n"/>
      <c r="N37" s="4" t="n"/>
      <c r="O37" s="4" t="n"/>
    </row>
    <row hidden="false" ht="15.75" outlineLevel="0" r="38">
      <c r="A38" s="398" t="n"/>
      <c r="B38" s="398" t="n"/>
      <c r="C38" s="398" t="n"/>
      <c r="D38" s="398" t="n"/>
      <c r="E38" s="398" t="n"/>
      <c r="F38" s="398" t="n"/>
      <c r="G38" s="398" t="n"/>
      <c r="H38" s="398" t="n"/>
      <c r="I38" s="398" t="n"/>
      <c r="J38" s="398" t="n"/>
      <c r="K38" s="398" t="n"/>
      <c r="L38" s="4" t="n"/>
      <c r="M38" s="4" t="n"/>
      <c r="N38" s="4" t="n"/>
      <c r="O38" s="4" t="n"/>
    </row>
    <row customHeight="true" hidden="false" ht="56.25" outlineLevel="0" r="39">
      <c r="A39" s="403" t="s">
        <v>269</v>
      </c>
      <c r="B39" s="403" t="s"/>
      <c r="C39" s="403" t="s"/>
      <c r="D39" s="403" t="s"/>
      <c r="E39" s="403" t="s"/>
      <c r="F39" s="403" t="s"/>
      <c r="G39" s="403" t="s"/>
      <c r="H39" s="403" t="s"/>
      <c r="I39" s="403" t="s"/>
      <c r="J39" s="403" t="s"/>
      <c r="K39" s="403" t="s"/>
      <c r="L39" s="4" t="n"/>
      <c r="M39" s="4" t="n"/>
      <c r="N39" s="4" t="n"/>
      <c r="O39" s="4" t="n"/>
    </row>
    <row customHeight="true" hidden="false" ht="15.75" outlineLevel="0" r="40">
      <c r="A40" s="169" t="s">
        <v>239</v>
      </c>
      <c r="B40" s="169" t="s">
        <v>240</v>
      </c>
      <c r="C40" s="1666" t="s"/>
      <c r="D40" s="1667" t="s"/>
      <c r="E40" s="1668" t="s"/>
      <c r="F40" s="1669" t="s"/>
      <c r="G40" s="1670" t="s"/>
      <c r="H40" s="1671" t="s"/>
      <c r="I40" s="1672" t="s"/>
      <c r="J40" s="1673" t="s"/>
      <c r="K40" s="417" t="s">
        <v>241</v>
      </c>
      <c r="L40" s="4" t="n"/>
      <c r="M40" s="4" t="n"/>
      <c r="N40" s="4" t="n"/>
      <c r="O40" s="4" t="n"/>
    </row>
    <row customHeight="true" hidden="false" ht="15.75" outlineLevel="0" r="41">
      <c r="A41" s="67" t="n">
        <v>1</v>
      </c>
      <c r="B41" s="177" t="s">
        <v>242</v>
      </c>
      <c r="C41" s="1680" t="s"/>
      <c r="D41" s="1681" t="s"/>
      <c r="E41" s="1682" t="s"/>
      <c r="F41" s="1683" t="s"/>
      <c r="G41" s="1684" t="s"/>
      <c r="H41" s="1685" t="s"/>
      <c r="I41" s="1686" t="s"/>
      <c r="J41" s="1687" t="s"/>
      <c r="K41" s="434" t="n">
        <f aca="false" ca="false" dt2D="false" dtr="false" t="normal">SUM(L10)</f>
        <v>7328.603205</v>
      </c>
      <c r="L41" s="4" t="n"/>
      <c r="M41" s="4" t="n"/>
      <c r="N41" s="4" t="n"/>
      <c r="O41" s="4" t="n"/>
    </row>
    <row customHeight="true" hidden="false" ht="15.75" outlineLevel="0" r="42">
      <c r="A42" s="67" t="n">
        <v>2</v>
      </c>
      <c r="B42" s="189" t="s">
        <v>243</v>
      </c>
      <c r="C42" s="1690" t="s"/>
      <c r="D42" s="1691" t="s"/>
      <c r="E42" s="1692" t="s"/>
      <c r="F42" s="1693" t="s"/>
      <c r="G42" s="1694" t="s"/>
      <c r="H42" s="1695" t="s"/>
      <c r="I42" s="1696" t="s"/>
      <c r="J42" s="1697" t="s"/>
      <c r="K42" s="434" t="n">
        <f aca="false" ca="false" dt2D="false" dtr="false" t="normal">SUM(L16)</f>
        <v>111.74</v>
      </c>
      <c r="L42" s="4" t="n"/>
      <c r="M42" s="4" t="n"/>
      <c r="N42" s="4" t="n"/>
      <c r="O42" s="4" t="n"/>
    </row>
    <row customHeight="true" hidden="false" ht="30" outlineLevel="0" r="43">
      <c r="A43" s="67" t="n">
        <v>3</v>
      </c>
      <c r="B43" s="177" t="s">
        <v>244</v>
      </c>
      <c r="C43" s="1698" t="s"/>
      <c r="D43" s="1699" t="s"/>
      <c r="E43" s="1700" t="s"/>
      <c r="F43" s="1701" t="s"/>
      <c r="G43" s="1702" t="s"/>
      <c r="H43" s="1703" t="s"/>
      <c r="I43" s="1704" t="s"/>
      <c r="J43" s="1705" t="s"/>
      <c r="K43" s="434" t="n">
        <f aca="false" ca="false" dt2D="false" dtr="false" t="normal">SUM(M22)</f>
        <v>172.299</v>
      </c>
      <c r="L43" s="4" t="n"/>
      <c r="M43" s="4" t="n"/>
      <c r="N43" s="4" t="n"/>
      <c r="O43" s="4" t="n"/>
    </row>
    <row customHeight="true" hidden="false" ht="15.75" outlineLevel="0" r="44">
      <c r="A44" s="67" t="n">
        <v>4</v>
      </c>
      <c r="B44" s="177" t="s">
        <v>245</v>
      </c>
      <c r="C44" s="1710" t="s"/>
      <c r="D44" s="1711" t="s"/>
      <c r="E44" s="1713" t="s"/>
      <c r="F44" s="1715" t="s"/>
      <c r="G44" s="1716" t="s"/>
      <c r="H44" s="1717" t="s"/>
      <c r="I44" s="1718" t="s"/>
      <c r="J44" s="1719" t="s"/>
      <c r="K44" s="434" t="n">
        <f aca="false" ca="false" dt2D="false" dtr="false" t="normal">SUM(K37)</f>
        <v>14111.297653885735</v>
      </c>
      <c r="L44" s="4" t="n"/>
      <c r="M44" s="4" t="n"/>
      <c r="N44" s="4" t="n"/>
      <c r="O44" s="4" t="n"/>
    </row>
    <row customHeight="true" hidden="false" ht="15.75" outlineLevel="0" r="45">
      <c r="A45" s="67" t="n">
        <v>5</v>
      </c>
      <c r="B45" s="189" t="s">
        <v>247</v>
      </c>
      <c r="C45" s="1724" t="s"/>
      <c r="D45" s="1725" t="s"/>
      <c r="E45" s="1726" t="s"/>
      <c r="F45" s="1727" t="s"/>
      <c r="G45" s="1729" t="s"/>
      <c r="H45" s="1730" t="s"/>
      <c r="I45" s="1731" t="s"/>
      <c r="J45" s="1732" t="s"/>
      <c r="K45" s="434" t="n">
        <f aca="false" ca="false" dt2D="false" dtr="false" t="normal">SUM(K41:K44)</f>
        <v>21723.939858885737</v>
      </c>
      <c r="L45" s="4" t="n"/>
      <c r="M45" s="4" t="n"/>
      <c r="N45" s="4" t="n"/>
      <c r="O45" s="4" t="n"/>
    </row>
    <row customHeight="true" hidden="false" ht="15.75" outlineLevel="0" r="46">
      <c r="A46" s="67" t="n">
        <v>6</v>
      </c>
      <c r="B46" s="189" t="s">
        <v>208</v>
      </c>
      <c r="C46" s="1736" t="s"/>
      <c r="D46" s="1737" t="s"/>
      <c r="E46" s="1738" t="s"/>
      <c r="F46" s="1739" t="s"/>
      <c r="G46" s="1740" t="s"/>
      <c r="H46" s="1741" t="s"/>
      <c r="I46" s="1742" t="s"/>
      <c r="J46" s="1743" t="s"/>
      <c r="K46" s="434" t="n">
        <f aca="false" ca="false" dt2D="false" dtr="false" t="normal">SUM(K45*0.22)</f>
        <v>4779.2667689548625</v>
      </c>
      <c r="L46" s="4" t="n"/>
      <c r="M46" s="4" t="n"/>
      <c r="N46" s="4" t="n"/>
      <c r="O46" s="4" t="n"/>
    </row>
    <row customHeight="true" hidden="false" ht="15.75" outlineLevel="0" r="47">
      <c r="A47" s="67" t="n"/>
      <c r="B47" s="177" t="s">
        <v>211</v>
      </c>
      <c r="C47" s="1750" t="s"/>
      <c r="D47" s="1751" t="s"/>
      <c r="E47" s="1753" t="s"/>
      <c r="F47" s="1754" t="s"/>
      <c r="G47" s="1755" t="s"/>
      <c r="H47" s="1756" t="s"/>
      <c r="I47" s="1757" t="s"/>
      <c r="J47" s="1758" t="s"/>
      <c r="K47" s="512" t="n">
        <f aca="false" ca="false" dt2D="false" dtr="false" t="normal">SUM(K45:K46)-203</f>
        <v>26300.2066278406</v>
      </c>
      <c r="L47" s="4" t="n"/>
      <c r="M47" s="4" t="n"/>
      <c r="N47" s="4" t="n"/>
      <c r="O47" s="4" t="n"/>
    </row>
    <row customHeight="true" hidden="false" ht="15.75" outlineLevel="0" r="48">
      <c r="A48" s="1764" t="n"/>
      <c r="B48" s="519" t="n"/>
      <c r="C48" s="519" t="s"/>
      <c r="D48" s="519" t="s"/>
      <c r="E48" s="519" t="s"/>
      <c r="F48" s="519" t="s"/>
      <c r="G48" s="519" t="s"/>
      <c r="H48" s="519" t="s"/>
      <c r="I48" s="519" t="s"/>
      <c r="J48" s="519" t="s"/>
      <c r="K48" s="519" t="s"/>
      <c r="L48" s="519" t="s"/>
      <c r="M48" s="519" t="s"/>
      <c r="N48" s="519" t="s"/>
      <c r="O48" s="519" t="s"/>
    </row>
    <row customHeight="true" hidden="false" ht="33" outlineLevel="0" r="49">
      <c r="A49" s="4" t="n"/>
      <c r="B49" s="519" t="s"/>
      <c r="C49" s="519" t="s"/>
      <c r="D49" s="519" t="s"/>
      <c r="E49" s="519" t="s"/>
      <c r="F49" s="519" t="s"/>
      <c r="G49" s="519" t="s"/>
      <c r="H49" s="519" t="s"/>
      <c r="I49" s="519" t="s"/>
      <c r="J49" s="519" t="s"/>
      <c r="K49" s="519" t="s"/>
      <c r="L49" s="519" t="s"/>
      <c r="M49" s="519" t="s"/>
      <c r="N49" s="519" t="s"/>
      <c r="O49" s="519" t="s"/>
    </row>
    <row customHeight="true" hidden="false" ht="25.5" outlineLevel="0" r="51">
      <c r="A51" s="1069" t="n"/>
      <c r="B51" s="1069" t="s"/>
      <c r="C51" s="1069" t="s"/>
      <c r="D51" s="1069" t="s"/>
      <c r="E51" s="1069" t="s"/>
      <c r="F51" s="1069" t="s"/>
      <c r="G51" s="1069" t="s"/>
      <c r="H51" s="1069" t="s"/>
      <c r="I51" s="1069" t="s"/>
      <c r="J51" s="1069" t="s"/>
      <c r="K51" s="1069" t="s"/>
    </row>
    <row hidden="false" ht="12.75" outlineLevel="0" r="52">
      <c r="A52" s="1070" t="n"/>
      <c r="B52" s="1071" t="n"/>
      <c r="C52" s="1071" t="n"/>
      <c r="D52" s="1072" t="n"/>
      <c r="E52" s="1071" t="n"/>
      <c r="F52" s="1071" t="n"/>
      <c r="G52" s="1071" t="n"/>
      <c r="H52" s="1071" t="n"/>
      <c r="I52" s="1071" t="n"/>
      <c r="J52" s="1071" t="n"/>
      <c r="K52" s="1071" t="n"/>
    </row>
    <row hidden="false" ht="12.75" outlineLevel="0" r="53">
      <c r="A53" s="1070" t="n"/>
      <c r="B53" s="1071" t="n"/>
      <c r="C53" s="1071" t="n"/>
      <c r="D53" s="1072" t="n"/>
      <c r="E53" s="1071" t="n"/>
      <c r="F53" s="1071" t="n"/>
      <c r="G53" s="1071" t="n"/>
      <c r="H53" s="1071" t="n"/>
      <c r="I53" s="1071" t="n"/>
      <c r="J53" s="1071" t="n"/>
      <c r="K53" s="1071" t="n"/>
    </row>
    <row customHeight="true" hidden="false" ht="30" outlineLevel="0" r="54">
      <c r="A54" s="1069" t="n"/>
      <c r="B54" s="1069" t="s"/>
      <c r="C54" s="1069" t="s"/>
      <c r="D54" s="1069" t="s"/>
      <c r="E54" s="1069" t="s"/>
      <c r="F54" s="1069" t="s"/>
      <c r="G54" s="1069" t="s"/>
      <c r="H54" s="1069" t="s"/>
      <c r="I54" s="1069" t="s"/>
      <c r="J54" s="1069" t="s"/>
      <c r="K54" s="1069" t="s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83">
    <mergeCell ref="H3:N3"/>
    <mergeCell ref="A6:N6"/>
    <mergeCell ref="L8:N8"/>
    <mergeCell ref="I8:K8"/>
    <mergeCell ref="B8:C8"/>
    <mergeCell ref="G8:H8"/>
    <mergeCell ref="D8:F8"/>
    <mergeCell ref="G9:H9"/>
    <mergeCell ref="D9:F9"/>
    <mergeCell ref="B9:C9"/>
    <mergeCell ref="I9:K9"/>
    <mergeCell ref="L9:N9"/>
    <mergeCell ref="G10:H10"/>
    <mergeCell ref="L10:N10"/>
    <mergeCell ref="D10:F10"/>
    <mergeCell ref="I10:K10"/>
    <mergeCell ref="B10:C10"/>
    <mergeCell ref="B12:N12"/>
    <mergeCell ref="B13:C13"/>
    <mergeCell ref="D13:F13"/>
    <mergeCell ref="G13:H13"/>
    <mergeCell ref="I13:K13"/>
    <mergeCell ref="L13:N13"/>
    <mergeCell ref="B14:C14"/>
    <mergeCell ref="D14:F14"/>
    <mergeCell ref="B15:C15"/>
    <mergeCell ref="D15:F15"/>
    <mergeCell ref="G14:H14"/>
    <mergeCell ref="G15:H15"/>
    <mergeCell ref="I14:K14"/>
    <mergeCell ref="I15:K15"/>
    <mergeCell ref="L14:N14"/>
    <mergeCell ref="L15:N15"/>
    <mergeCell ref="G16:H16"/>
    <mergeCell ref="I16:K16"/>
    <mergeCell ref="L16:N16"/>
    <mergeCell ref="D16:F16"/>
    <mergeCell ref="B16:C16"/>
    <mergeCell ref="D19:F19"/>
    <mergeCell ref="B19:C19"/>
    <mergeCell ref="B20:C20"/>
    <mergeCell ref="D20:F20"/>
    <mergeCell ref="D21:F21"/>
    <mergeCell ref="B21:C21"/>
    <mergeCell ref="D22:F22"/>
    <mergeCell ref="B22:C22"/>
    <mergeCell ref="M20:N20"/>
    <mergeCell ref="J20:L20"/>
    <mergeCell ref="M19:N19"/>
    <mergeCell ref="J19:L19"/>
    <mergeCell ref="H19:I19"/>
    <mergeCell ref="M21:N21"/>
    <mergeCell ref="H20:I20"/>
    <mergeCell ref="J21:L21"/>
    <mergeCell ref="H21:I21"/>
    <mergeCell ref="M22:N22"/>
    <mergeCell ref="J22:L22"/>
    <mergeCell ref="H22:I22"/>
    <mergeCell ref="B25:J2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43:J43"/>
    <mergeCell ref="B42:J42"/>
    <mergeCell ref="B41:J41"/>
    <mergeCell ref="A39:K39"/>
    <mergeCell ref="B40:J40"/>
    <mergeCell ref="B44:J44"/>
    <mergeCell ref="B45:J45"/>
    <mergeCell ref="B46:J46"/>
    <mergeCell ref="B47:J47"/>
    <mergeCell ref="B48:O49"/>
    <mergeCell ref="A51:K51"/>
    <mergeCell ref="A54:K54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xl/worksheets/sheet9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W49"/>
  <sheetViews>
    <sheetView showZeros="true" workbookViewId="0"/>
  </sheetViews>
  <sheetFormatPr baseColWidth="8" customHeight="false" defaultColWidth="9.01358353688254" defaultRowHeight="12.75" zeroHeight="false"/>
  <cols>
    <col customWidth="true" hidden="false" max="1" min="1" outlineLevel="0" style="93" width="3.51202187927726"/>
    <col customWidth="true" hidden="false" max="2" min="2" outlineLevel="0" style="93" width="12.962912175516"/>
    <col customWidth="true" hidden="false" max="3" min="3" outlineLevel="0" style="93" width="10.2697046882885"/>
    <col customWidth="true" hidden="false" max="4" min="4" outlineLevel="0" style="93" width="13.1010262128073"/>
    <col customWidth="true" hidden="false" max="5" min="5" outlineLevel="0" style="93" width="3.65013523990387"/>
    <col customWidth="true" hidden="false" max="6" min="6" outlineLevel="0" style="93" width="2.94970401839039"/>
    <col customWidth="true" hidden="false" max="7" min="7" outlineLevel="0" style="93" width="10.1414570993718"/>
    <col customWidth="true" hidden="false" max="8" min="8" outlineLevel="0" style="93" width="4.22231853416827"/>
    <col customWidth="true" hidden="false" max="9" min="9" outlineLevel="0" style="93" width="9.4311601061484"/>
    <col customWidth="true" hidden="false" max="10" min="10" outlineLevel="0" style="93" width="1.67708916428015"/>
    <col customWidth="true" hidden="false" max="11" min="11" outlineLevel="0" style="93" width="14.0875492506192"/>
    <col customWidth="true" hidden="false" max="12" min="12" outlineLevel="0" style="93" width="3.65013523990387"/>
    <col bestFit="true" customWidth="true" hidden="false" max="13" min="13" outlineLevel="0" style="93" width="9.01682070093331"/>
    <col customWidth="true" hidden="false" max="14" min="14" outlineLevel="0" style="93" width="6.47159099271283"/>
    <col customWidth="true" hidden="false" max="15" min="15" outlineLevel="0" style="93" width="4.63665827771572"/>
    <col customWidth="true" hidden="false" max="16" min="16" outlineLevel="0" style="93" width="5.33708949922919"/>
    <col customWidth="true" hidden="false" max="17" min="17" outlineLevel="0" style="93" width="4.63665827771572"/>
    <col bestFit="true" customWidth="true" hidden="false" max="257" min="18" outlineLevel="0" style="93" width="9.01682070093331"/>
  </cols>
  <sheetData>
    <row customHeight="true" hidden="false" ht="12.75" outlineLevel="0" r="1">
      <c r="B1" s="1524" t="n"/>
      <c r="C1" s="1524" t="n"/>
      <c r="D1" s="1524" t="n"/>
      <c r="E1" s="1524" t="n"/>
      <c r="F1" s="1524" t="n"/>
      <c r="G1" s="1524" t="n"/>
      <c r="H1" s="1524" t="n"/>
      <c r="I1" s="101" t="s">
        <v>175</v>
      </c>
      <c r="J1" s="101" t="n"/>
      <c r="K1" s="4" t="n"/>
      <c r="L1" s="104" t="n"/>
      <c r="M1" s="104" t="n"/>
      <c r="N1" s="104" t="n"/>
      <c r="O1" s="104" t="n"/>
    </row>
    <row customHeight="true" hidden="false" ht="12.75" outlineLevel="0" r="2">
      <c r="B2" s="1524" t="n"/>
      <c r="C2" s="1524" t="n"/>
      <c r="D2" s="1524" t="n"/>
      <c r="E2" s="1524" t="n"/>
      <c r="F2" s="1524" t="n"/>
      <c r="G2" s="1524" t="n"/>
      <c r="H2" s="1524" t="n"/>
      <c r="I2" s="105" t="s">
        <v>176</v>
      </c>
      <c r="J2" s="4" t="n"/>
      <c r="K2" s="4" t="n"/>
      <c r="L2" s="4" t="n"/>
      <c r="M2" s="4" t="n"/>
      <c r="N2" s="4" t="n"/>
      <c r="O2" s="4" t="n"/>
    </row>
    <row customHeight="true" hidden="false" ht="12.75" outlineLevel="0" r="3">
      <c r="B3" s="1524" t="n"/>
      <c r="C3" s="1524" t="n"/>
      <c r="D3" s="1524" t="n"/>
      <c r="E3" s="1524" t="n"/>
      <c r="F3" s="1524" t="n"/>
      <c r="G3" s="1524" t="n"/>
      <c r="H3" s="1524" t="n"/>
      <c r="I3" s="101" t="s">
        <v>226</v>
      </c>
      <c r="J3" s="101" t="s"/>
      <c r="K3" s="101" t="s"/>
      <c r="L3" s="101" t="s"/>
      <c r="M3" s="101" t="s"/>
      <c r="N3" s="101" t="s"/>
      <c r="O3" s="101" t="s"/>
    </row>
    <row customHeight="true" hidden="false" ht="12.75" outlineLevel="0" r="4">
      <c r="B4" s="1524" t="n"/>
      <c r="C4" s="1524" t="n"/>
      <c r="D4" s="1524" t="n"/>
      <c r="E4" s="1524" t="n"/>
      <c r="F4" s="1524" t="n"/>
      <c r="G4" s="1524" t="n"/>
      <c r="H4" s="1524" t="n"/>
      <c r="I4" s="105" t="s">
        <v>178</v>
      </c>
      <c r="J4" s="105" t="n"/>
      <c r="K4" s="4" t="n"/>
      <c r="L4" s="4" t="n"/>
      <c r="M4" s="4" t="n"/>
      <c r="N4" s="4" t="n"/>
      <c r="O4" s="4" t="n"/>
    </row>
    <row customHeight="true" hidden="false" ht="12.75" outlineLevel="0" r="5">
      <c r="B5" s="1524" t="n"/>
      <c r="C5" s="1524" t="n"/>
      <c r="D5" s="1524" t="n"/>
      <c r="E5" s="1524" t="n"/>
      <c r="F5" s="1524" t="n"/>
      <c r="G5" s="1524" t="n"/>
      <c r="H5" s="1524" t="n"/>
      <c r="I5" s="1524" t="n"/>
      <c r="J5" s="1524" t="n"/>
      <c r="K5" s="1524" t="n"/>
      <c r="L5" s="1524" t="n"/>
      <c r="M5" s="1524" t="n"/>
      <c r="N5" s="1524" t="n"/>
    </row>
    <row customHeight="true" hidden="false" ht="72.75" outlineLevel="0" r="6">
      <c r="A6" s="403" t="s">
        <v>271</v>
      </c>
      <c r="B6" s="403" t="s"/>
      <c r="C6" s="403" t="s"/>
      <c r="D6" s="403" t="s"/>
      <c r="E6" s="403" t="s"/>
      <c r="F6" s="403" t="s"/>
      <c r="G6" s="403" t="s"/>
      <c r="H6" s="403" t="s"/>
      <c r="I6" s="403" t="s"/>
      <c r="J6" s="403" t="s"/>
      <c r="K6" s="403" t="s"/>
      <c r="L6" s="403" t="s"/>
      <c r="M6" s="403" t="s"/>
      <c r="N6" s="403" t="s"/>
    </row>
    <row customHeight="true" hidden="false" ht="12.75" outlineLevel="0" r="7">
      <c r="A7" s="4" t="n"/>
      <c r="B7" s="101" t="s">
        <v>232</v>
      </c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</row>
    <row customHeight="true" hidden="false" ht="145.5" outlineLevel="0" r="8">
      <c r="A8" s="124" t="n"/>
      <c r="B8" s="129" t="s">
        <v>184</v>
      </c>
      <c r="C8" s="1807" t="s"/>
      <c r="D8" s="129" t="s">
        <v>233</v>
      </c>
      <c r="E8" s="1808" t="s"/>
      <c r="F8" s="1809" t="s"/>
      <c r="G8" s="129" t="s">
        <v>186</v>
      </c>
      <c r="H8" s="1810" t="s"/>
      <c r="I8" s="129" t="s">
        <v>187</v>
      </c>
      <c r="J8" s="1811" t="s"/>
      <c r="K8" s="1812" t="s"/>
      <c r="L8" s="129" t="s">
        <v>272</v>
      </c>
      <c r="M8" s="1813" t="s"/>
      <c r="N8" s="1814" t="s"/>
    </row>
    <row customHeight="true" hidden="false" ht="15.75" outlineLevel="0" r="9">
      <c r="A9" s="17" t="n">
        <v>1</v>
      </c>
      <c r="B9" s="144" t="s">
        <v>189</v>
      </c>
      <c r="C9" s="1823" t="s"/>
      <c r="D9" s="153" t="n">
        <f aca="false" ca="false" dt2D="false" dtr="false" t="normal">68227*1.302</f>
        <v>88831.554</v>
      </c>
      <c r="E9" s="1824" t="s"/>
      <c r="F9" s="1825" t="s"/>
      <c r="G9" s="384" t="n">
        <v>9600</v>
      </c>
      <c r="H9" s="1830" t="s"/>
      <c r="I9" s="159" t="n">
        <f aca="false" ca="false" dt2D="false" dtr="false" t="normal">17.3*60</f>
        <v>1038</v>
      </c>
      <c r="J9" s="1835" t="s"/>
      <c r="K9" s="1836" t="s"/>
      <c r="L9" s="153" t="n">
        <f aca="false" ca="false" dt2D="false" dtr="false" t="normal">D9/G9*I9</f>
        <v>9604.911776250001</v>
      </c>
      <c r="M9" s="1837" t="s"/>
      <c r="N9" s="1838" t="s"/>
    </row>
    <row customHeight="true" hidden="false" ht="15.75" outlineLevel="0" r="10">
      <c r="A10" s="124" t="n"/>
      <c r="B10" s="144" t="s">
        <v>183</v>
      </c>
      <c r="C10" s="1847" t="s"/>
      <c r="D10" s="153" t="n">
        <f aca="false" ca="false" dt2D="false" dtr="false" t="normal">SUM(D9:F9)</f>
        <v>88831.554</v>
      </c>
      <c r="E10" s="1848" t="s"/>
      <c r="F10" s="1849" t="s"/>
      <c r="G10" s="384" t="n">
        <f aca="false" ca="false" dt2D="false" dtr="false" t="normal">SUM(G9:H9)</f>
        <v>9600</v>
      </c>
      <c r="H10" s="1850" t="s"/>
      <c r="I10" s="384" t="n">
        <f aca="false" ca="false" dt2D="false" dtr="false" t="normal">SUM(I9:K9)</f>
        <v>1038</v>
      </c>
      <c r="J10" s="1854" t="s"/>
      <c r="K10" s="1856" t="s"/>
      <c r="L10" s="630" t="n">
        <f aca="false" ca="false" dt2D="false" dtr="false" t="normal">SUM(L9:N9)</f>
        <v>9604.911776250001</v>
      </c>
      <c r="M10" s="1861" t="s"/>
      <c r="N10" s="1862" t="s"/>
    </row>
    <row customHeight="true" hidden="false" ht="12.75" outlineLevel="0" r="11">
      <c r="A11" s="3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</row>
    <row customHeight="true" hidden="false" ht="15.75" outlineLevel="0" r="12">
      <c r="A12" s="4" t="n"/>
      <c r="B12" s="104" t="n"/>
      <c r="C12" s="104" t="s"/>
      <c r="D12" s="435" t="n"/>
      <c r="E12" s="435" t="s"/>
      <c r="F12" s="435" t="s"/>
      <c r="G12" s="119" t="n"/>
      <c r="H12" s="119" t="s"/>
      <c r="I12" s="119" t="n"/>
      <c r="J12" s="119" t="s"/>
      <c r="K12" s="119" t="s"/>
      <c r="L12" s="119" t="n"/>
      <c r="M12" s="119" t="s"/>
      <c r="N12" s="119" t="s"/>
    </row>
    <row customHeight="true" hidden="false" ht="12.75" outlineLevel="0" r="13">
      <c r="A13" s="4" t="n"/>
      <c r="B13" s="444" t="s">
        <v>198</v>
      </c>
      <c r="C13" s="1879" t="s"/>
      <c r="D13" s="1880" t="s"/>
      <c r="E13" s="1881" t="s"/>
      <c r="F13" s="1882" t="s"/>
      <c r="G13" s="119" t="n"/>
      <c r="H13" s="119" t="n"/>
      <c r="I13" s="119" t="n"/>
      <c r="J13" s="119" t="s"/>
      <c r="K13" s="119" t="s"/>
      <c r="L13" s="352" t="n"/>
      <c r="M13" s="1883" t="s"/>
      <c r="N13" s="1884" t="s"/>
    </row>
    <row customHeight="true" hidden="false" ht="66" outlineLevel="0" r="14">
      <c r="A14" s="196" t="n"/>
      <c r="B14" s="129" t="s">
        <v>200</v>
      </c>
      <c r="C14" s="1891" t="s"/>
      <c r="D14" s="129" t="s">
        <v>201</v>
      </c>
      <c r="E14" s="1894" t="s"/>
      <c r="F14" s="1895" t="s"/>
      <c r="G14" s="129" t="s">
        <v>202</v>
      </c>
      <c r="H14" s="1896" t="s"/>
      <c r="I14" s="129" t="s">
        <v>267</v>
      </c>
      <c r="J14" s="1897" t="s"/>
      <c r="K14" s="1898" t="s"/>
      <c r="L14" s="129" t="s">
        <v>273</v>
      </c>
      <c r="M14" s="1899" t="s"/>
      <c r="N14" s="1900" t="s"/>
    </row>
    <row customHeight="true" hidden="false" ht="15.75" outlineLevel="0" r="15">
      <c r="A15" s="17" t="n">
        <v>1</v>
      </c>
      <c r="B15" s="32" t="s">
        <v>205</v>
      </c>
      <c r="C15" s="1908" t="s"/>
      <c r="D15" s="95" t="s">
        <v>207</v>
      </c>
      <c r="E15" s="1910" t="s"/>
      <c r="F15" s="1911" t="s"/>
      <c r="G15" s="95" t="n">
        <v>5</v>
      </c>
      <c r="H15" s="1912" t="s"/>
      <c r="I15" s="95" t="n">
        <f aca="false" ca="false" dt2D="false" dtr="false" t="normal">SUM(587/500)</f>
        <v>1.174</v>
      </c>
      <c r="J15" s="1913" t="s"/>
      <c r="K15" s="1914" t="s"/>
      <c r="L15" s="95" t="n">
        <f aca="false" ca="false" dt2D="false" dtr="false" t="normal">G15*I15</f>
        <v>5.869999999999999</v>
      </c>
      <c r="M15" s="1919" t="s"/>
      <c r="N15" s="1921" t="s"/>
      <c r="O15" s="93" t="n"/>
    </row>
    <row customHeight="true" hidden="false" ht="15.75" outlineLevel="0" r="16">
      <c r="A16" s="17" t="n">
        <v>2</v>
      </c>
      <c r="B16" s="32" t="s">
        <v>209</v>
      </c>
      <c r="C16" s="1925" t="s"/>
      <c r="D16" s="95" t="s">
        <v>210</v>
      </c>
      <c r="E16" s="1926" t="s"/>
      <c r="F16" s="1928" t="s"/>
      <c r="G16" s="95" t="n">
        <v>0.09</v>
      </c>
      <c r="H16" s="1932" t="s"/>
      <c r="I16" s="95" t="n">
        <v>1250</v>
      </c>
      <c r="J16" s="1935" t="s"/>
      <c r="K16" s="1938" t="s"/>
      <c r="L16" s="95" t="n">
        <f aca="false" ca="false" dt2D="false" dtr="false" t="normal">G16*I16</f>
        <v>112.5</v>
      </c>
      <c r="M16" s="1939" t="s"/>
      <c r="N16" s="1940" t="s"/>
      <c r="S16" s="511" t="n"/>
    </row>
    <row customHeight="true" hidden="false" ht="12" outlineLevel="0" r="17">
      <c r="A17" s="124" t="n"/>
      <c r="B17" s="95" t="n"/>
      <c r="C17" s="1947" t="s"/>
      <c r="D17" s="95" t="n"/>
      <c r="E17" s="1950" t="s"/>
      <c r="F17" s="1951" t="s"/>
      <c r="G17" s="95" t="n"/>
      <c r="H17" s="1952" t="s"/>
      <c r="I17" s="95" t="n"/>
      <c r="J17" s="1953" t="s"/>
      <c r="K17" s="1954" t="s"/>
      <c r="L17" s="136" t="n">
        <f aca="false" ca="false" dt2D="false" dtr="false" t="normal">SUM(L15:N16)</f>
        <v>118.37</v>
      </c>
      <c r="M17" s="1955" t="s"/>
      <c r="N17" s="1956" t="s"/>
    </row>
    <row hidden="false" ht="15.75" outlineLevel="0" r="18">
      <c r="A18" s="4" t="n"/>
      <c r="B18" s="119" t="n"/>
      <c r="C18" s="119" t="n"/>
      <c r="D18" s="119" t="n"/>
      <c r="E18" s="119" t="n"/>
      <c r="F18" s="119" t="n"/>
      <c r="G18" s="119" t="n"/>
      <c r="H18" s="119" t="n"/>
      <c r="I18" s="119" t="n"/>
      <c r="J18" s="119" t="n"/>
      <c r="K18" s="119" t="n"/>
      <c r="L18" s="253" t="n"/>
      <c r="M18" s="253" t="n"/>
      <c r="N18" s="253" t="n"/>
    </row>
    <row hidden="false" ht="15.75" outlineLevel="0" r="19">
      <c r="A19" s="4" t="n"/>
      <c r="B19" s="119" t="n"/>
      <c r="C19" s="119" t="n"/>
      <c r="D19" s="119" t="n"/>
      <c r="E19" s="119" t="n"/>
      <c r="F19" s="119" t="n"/>
      <c r="G19" s="119" t="n"/>
      <c r="H19" s="119" t="n"/>
      <c r="I19" s="119" t="n"/>
      <c r="J19" s="119" t="n"/>
      <c r="K19" s="119" t="n"/>
      <c r="L19" s="253" t="n"/>
      <c r="M19" s="253" t="n"/>
      <c r="N19" s="253" t="n"/>
    </row>
    <row hidden="false" ht="15.75" outlineLevel="0" r="20">
      <c r="A20" s="4" t="n"/>
      <c r="B20" s="105" t="s">
        <v>212</v>
      </c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</row>
    <row customHeight="true" hidden="false" ht="87" outlineLevel="0" r="21">
      <c r="A21" s="124" t="n"/>
      <c r="B21" s="129" t="s">
        <v>213</v>
      </c>
      <c r="C21" s="1973" t="s"/>
      <c r="D21" s="129" t="s">
        <v>214</v>
      </c>
      <c r="E21" s="1974" t="s"/>
      <c r="F21" s="1975" t="s"/>
      <c r="G21" s="259" t="s">
        <v>215</v>
      </c>
      <c r="H21" s="169" t="s">
        <v>216</v>
      </c>
      <c r="I21" s="1977" t="s"/>
      <c r="J21" s="129" t="s">
        <v>217</v>
      </c>
      <c r="K21" s="1983" t="s"/>
      <c r="L21" s="1985" t="s"/>
      <c r="M21" s="129" t="s">
        <v>218</v>
      </c>
      <c r="N21" s="1987" t="s"/>
    </row>
    <row customHeight="true" hidden="false" ht="15.75" outlineLevel="0" r="22">
      <c r="A22" s="17" t="n">
        <v>1</v>
      </c>
      <c r="B22" s="32" t="s">
        <v>173</v>
      </c>
      <c r="C22" s="1988" t="s"/>
      <c r="D22" s="95" t="n">
        <v>70000</v>
      </c>
      <c r="E22" s="1989" t="s"/>
      <c r="F22" s="1990" t="s"/>
      <c r="G22" s="98" t="n">
        <v>0.3</v>
      </c>
      <c r="H22" s="99" t="s">
        <v>174</v>
      </c>
      <c r="I22" s="1998" t="s"/>
      <c r="J22" s="95" t="n">
        <v>16</v>
      </c>
      <c r="K22" s="2000" t="s"/>
      <c r="L22" s="2001" t="s"/>
      <c r="M22" s="106" t="n">
        <f aca="false" ca="false" dt2D="false" dtr="false" t="normal">D22*G22/H22*J22</f>
        <v>210</v>
      </c>
      <c r="N22" s="2002" t="s"/>
    </row>
    <row customHeight="true" hidden="false" ht="15.75" outlineLevel="0" r="23">
      <c r="A23" s="17" t="n">
        <v>2</v>
      </c>
      <c r="B23" s="32" t="s">
        <v>179</v>
      </c>
      <c r="C23" s="2011" t="s"/>
      <c r="D23" s="95" t="n">
        <v>17856</v>
      </c>
      <c r="E23" s="2012" t="s"/>
      <c r="F23" s="2013" t="s"/>
      <c r="G23" s="98" t="n">
        <v>0.3</v>
      </c>
      <c r="H23" s="99" t="s">
        <v>174</v>
      </c>
      <c r="I23" s="2014" t="s"/>
      <c r="J23" s="95" t="n">
        <v>0.5</v>
      </c>
      <c r="K23" s="2015" t="s"/>
      <c r="L23" s="2016" t="s"/>
      <c r="M23" s="106" t="n">
        <f aca="false" ca="false" dt2D="false" dtr="false" t="normal">D23*G23/H23*J23</f>
        <v>1.6740000000000002</v>
      </c>
      <c r="N23" s="2022" t="s"/>
    </row>
    <row customHeight="true" hidden="false" ht="12.75" outlineLevel="0" r="24">
      <c r="A24" s="124" t="n"/>
      <c r="B24" s="95" t="n"/>
      <c r="C24" s="2026" t="s"/>
      <c r="D24" s="95" t="n"/>
      <c r="E24" s="2027" t="s"/>
      <c r="F24" s="2028" t="s"/>
      <c r="G24" s="98" t="n"/>
      <c r="H24" s="99" t="n"/>
      <c r="I24" s="2029" t="s"/>
      <c r="J24" s="95" t="n"/>
      <c r="K24" s="2031" t="s"/>
      <c r="L24" s="2033" t="s"/>
      <c r="M24" s="2039" t="n">
        <f aca="false" ca="false" dt2D="false" dtr="false" t="normal">SUM(M22:N23)</f>
        <v>211.674</v>
      </c>
      <c r="N24" s="2041" t="s"/>
    </row>
    <row hidden="false" ht="15.75" outlineLevel="0" r="25">
      <c r="A25" s="4" t="n"/>
      <c r="B25" s="4" t="n"/>
      <c r="C25" s="4" t="n"/>
      <c r="D25" s="4" t="n"/>
      <c r="E25" s="4" t="n"/>
      <c r="F25" s="4" t="n"/>
      <c r="G25" s="4" t="n"/>
      <c r="H25" s="4" t="n"/>
      <c r="I25" s="558" t="n"/>
      <c r="J25" s="119" t="n"/>
      <c r="K25" s="119" t="n"/>
      <c r="L25" s="4" t="n"/>
      <c r="M25" s="4" t="n"/>
      <c r="N25" s="4" t="n"/>
    </row>
    <row hidden="false" ht="15.75" outlineLevel="0" r="26">
      <c r="A26" s="4" t="n"/>
      <c r="B26" s="101" t="s">
        <v>219</v>
      </c>
      <c r="C26" s="119" t="n"/>
      <c r="D26" s="119" t="n"/>
      <c r="E26" s="119" t="n"/>
      <c r="F26" s="119" t="n"/>
      <c r="G26" s="119" t="n"/>
      <c r="H26" s="119" t="n"/>
      <c r="I26" s="119" t="n"/>
      <c r="J26" s="4" t="n"/>
      <c r="K26" s="4" t="n"/>
    </row>
    <row customHeight="true" hidden="false" ht="15.75" outlineLevel="0" r="27">
      <c r="A27" s="20" t="n"/>
      <c r="B27" s="266" t="s">
        <v>220</v>
      </c>
      <c r="C27" s="1791" t="s"/>
      <c r="D27" s="1792" t="s"/>
      <c r="E27" s="1793" t="s"/>
      <c r="F27" s="1794" t="s"/>
      <c r="G27" s="1795" t="s"/>
      <c r="H27" s="1796" t="s"/>
      <c r="I27" s="1797" t="s"/>
      <c r="J27" s="1798" t="s"/>
      <c r="K27" s="275" t="s">
        <v>270</v>
      </c>
    </row>
    <row customHeight="true" hidden="false" ht="15.75" outlineLevel="0" r="28">
      <c r="A28" s="17" t="n">
        <v>1</v>
      </c>
      <c r="B28" s="276" t="s">
        <v>222</v>
      </c>
      <c r="C28" s="1799" t="s"/>
      <c r="D28" s="1800" t="s"/>
      <c r="E28" s="1801" t="s"/>
      <c r="F28" s="1802" t="s"/>
      <c r="G28" s="1803" t="s"/>
      <c r="H28" s="1804" t="s"/>
      <c r="I28" s="1805" t="s"/>
      <c r="J28" s="1806" t="s"/>
      <c r="K28" s="285" t="n">
        <f aca="false" ca="false" dt2D="false" dtr="false" t="normal">SUM(K29:K30)</f>
        <v>102768.76527840368</v>
      </c>
    </row>
    <row customHeight="true" hidden="false" ht="15.75" outlineLevel="0" r="29">
      <c r="A29" s="17" t="n"/>
      <c r="B29" s="144" t="s">
        <v>223</v>
      </c>
      <c r="C29" s="1815" t="s"/>
      <c r="D29" s="1816" t="s"/>
      <c r="E29" s="1817" t="s"/>
      <c r="F29" s="1818" t="s"/>
      <c r="G29" s="1819" t="s"/>
      <c r="H29" s="1820" t="s"/>
      <c r="I29" s="1821" t="s"/>
      <c r="J29" s="1822" t="s"/>
      <c r="K29" s="285" t="n">
        <f aca="false" ca="false" dt2D="false" dtr="false" t="normal">(15990207-D10)*1.302/218</f>
        <v>94970.600140789</v>
      </c>
    </row>
    <row customHeight="true" hidden="false" ht="36" outlineLevel="0" r="30">
      <c r="A30" s="17" t="n"/>
      <c r="B30" s="144" t="s">
        <v>224</v>
      </c>
      <c r="C30" s="1826" t="s"/>
      <c r="D30" s="1827" t="s"/>
      <c r="E30" s="1828" t="s"/>
      <c r="F30" s="1829" t="s"/>
      <c r="G30" s="1831" t="s"/>
      <c r="H30" s="1832" t="s"/>
      <c r="I30" s="1833" t="s"/>
      <c r="J30" s="1834" t="s"/>
      <c r="K30" s="285" t="n">
        <f aca="false" ca="false" dt2D="false" dtr="false" t="normal">(200000+1500000)/218</f>
        <v>7798.165137614679</v>
      </c>
    </row>
    <row customHeight="true" hidden="false" ht="15.75" outlineLevel="0" r="31">
      <c r="A31" s="17" t="n">
        <v>2</v>
      </c>
      <c r="B31" s="144" t="s">
        <v>225</v>
      </c>
      <c r="C31" s="1839" t="s"/>
      <c r="D31" s="1840" t="s"/>
      <c r="E31" s="1841" t="s"/>
      <c r="F31" s="1842" t="s"/>
      <c r="G31" s="1843" t="s"/>
      <c r="H31" s="1844" t="s"/>
      <c r="I31" s="1845" t="s"/>
      <c r="J31" s="1846" t="s"/>
      <c r="K31" s="285" t="n">
        <f aca="false" ca="false" dt2D="false" dtr="false" t="normal">SUM(K32:K33)</f>
        <v>68104.96788990825</v>
      </c>
    </row>
    <row customHeight="true" hidden="false" ht="15.75" outlineLevel="0" r="32">
      <c r="A32" s="17" t="n"/>
      <c r="B32" s="310" t="s">
        <v>227</v>
      </c>
      <c r="C32" s="1851" t="s"/>
      <c r="D32" s="1852" t="s"/>
      <c r="E32" s="1853" t="s"/>
      <c r="F32" s="1855" t="s"/>
      <c r="G32" s="1857" t="s"/>
      <c r="H32" s="1858" t="s"/>
      <c r="I32" s="1859" t="s"/>
      <c r="J32" s="1860" t="s"/>
      <c r="K32" s="285" t="n">
        <f aca="false" ca="false" dt2D="false" dtr="false" t="normal">2000000/218</f>
        <v>9174.311926605504</v>
      </c>
    </row>
    <row customHeight="true" hidden="false" ht="15.75" outlineLevel="0" r="33">
      <c r="A33" s="17" t="n"/>
      <c r="B33" s="310" t="s">
        <v>228</v>
      </c>
      <c r="C33" s="1863" t="s"/>
      <c r="D33" s="1864" t="s"/>
      <c r="E33" s="1865" t="s"/>
      <c r="F33" s="1866" t="s"/>
      <c r="G33" s="1867" t="s"/>
      <c r="H33" s="1868" t="s"/>
      <c r="I33" s="1869" t="s"/>
      <c r="J33" s="1870" t="s"/>
      <c r="K33" s="285" t="n">
        <f aca="false" ca="false" dt2D="false" dtr="false" t="normal">(8246883+3800000+800000)/218</f>
        <v>58930.65596330275</v>
      </c>
    </row>
    <row customHeight="true" hidden="false" ht="15.75" outlineLevel="0" r="34">
      <c r="A34" s="17" t="n">
        <v>3</v>
      </c>
      <c r="B34" s="144" t="s">
        <v>230</v>
      </c>
      <c r="C34" s="1871" t="s"/>
      <c r="D34" s="1872" t="s"/>
      <c r="E34" s="1873" t="s"/>
      <c r="F34" s="1874" t="s"/>
      <c r="G34" s="1875" t="s"/>
      <c r="H34" s="1876" t="s"/>
      <c r="I34" s="1877" t="s"/>
      <c r="J34" s="1878" t="s"/>
      <c r="K34" s="285" t="n">
        <f aca="false" ca="false" dt2D="false" dtr="false" t="normal">M24</f>
        <v>211.674</v>
      </c>
    </row>
    <row customHeight="true" hidden="false" ht="15.75" outlineLevel="0" r="35">
      <c r="A35" s="17" t="n"/>
      <c r="B35" s="276" t="s">
        <v>183</v>
      </c>
      <c r="C35" s="1885" t="s"/>
      <c r="D35" s="1886" t="s"/>
      <c r="E35" s="1887" t="s"/>
      <c r="F35" s="1888" t="s"/>
      <c r="G35" s="1889" t="s"/>
      <c r="H35" s="1890" t="s"/>
      <c r="I35" s="1892" t="s"/>
      <c r="J35" s="1893" t="s"/>
      <c r="K35" s="285" t="n">
        <f aca="false" ca="false" dt2D="false" dtr="false" t="normal">K31+K34</f>
        <v>68316.64188990825</v>
      </c>
    </row>
    <row customHeight="true" hidden="false" ht="15.75" outlineLevel="0" r="36">
      <c r="A36" s="17" t="n">
        <v>4</v>
      </c>
      <c r="B36" s="144" t="s">
        <v>231</v>
      </c>
      <c r="C36" s="1901" t="s"/>
      <c r="D36" s="1902" t="s"/>
      <c r="E36" s="1903" t="s"/>
      <c r="F36" s="1904" t="s"/>
      <c r="G36" s="1905" t="s"/>
      <c r="H36" s="1906" t="s"/>
      <c r="I36" s="1907" t="s"/>
      <c r="J36" s="1909" t="s"/>
      <c r="K36" s="285" t="n">
        <f aca="false" ca="false" dt2D="false" dtr="false" t="normal">SUM(D10)</f>
        <v>88831.554</v>
      </c>
    </row>
    <row customHeight="true" hidden="false" ht="15.75" outlineLevel="0" r="37">
      <c r="A37" s="17" t="n">
        <v>5</v>
      </c>
      <c r="B37" s="276" t="s">
        <v>234</v>
      </c>
      <c r="C37" s="1915" t="s"/>
      <c r="D37" s="1916" t="s"/>
      <c r="E37" s="1917" t="s"/>
      <c r="F37" s="1918" t="s"/>
      <c r="G37" s="1920" t="s"/>
      <c r="H37" s="1922" t="s"/>
      <c r="I37" s="1923" t="s"/>
      <c r="J37" s="1924" t="s"/>
      <c r="K37" s="285" t="n">
        <f aca="false" ca="false" dt2D="false" dtr="false" t="normal">(K28+K31+K34)/K36</f>
        <v>1.925953104099833</v>
      </c>
    </row>
    <row customHeight="true" hidden="false" ht="15.75" outlineLevel="0" r="38">
      <c r="A38" s="17" t="n">
        <f aca="false" ca="false" dt2D="false" dtr="false" t="normal">SUM(A37+1)</f>
        <v>6</v>
      </c>
      <c r="B38" s="144" t="s">
        <v>235</v>
      </c>
      <c r="C38" s="1927" t="s"/>
      <c r="D38" s="1929" t="s"/>
      <c r="E38" s="1930" t="s"/>
      <c r="F38" s="1931" t="s"/>
      <c r="G38" s="1933" t="s"/>
      <c r="H38" s="1934" t="s"/>
      <c r="I38" s="1936" t="s"/>
      <c r="J38" s="1937" t="s"/>
      <c r="K38" s="285" t="n">
        <f aca="false" ca="false" dt2D="false" dtr="false" t="normal">L10</f>
        <v>9604.911776250001</v>
      </c>
    </row>
    <row customHeight="true" hidden="false" ht="15.75" outlineLevel="0" r="39">
      <c r="A39" s="383" t="n"/>
      <c r="B39" s="276" t="s">
        <v>236</v>
      </c>
      <c r="C39" s="1941" t="s"/>
      <c r="D39" s="1942" t="s"/>
      <c r="E39" s="1943" t="s"/>
      <c r="F39" s="1944" t="s"/>
      <c r="G39" s="1945" t="s"/>
      <c r="H39" s="1946" t="s"/>
      <c r="I39" s="1948" t="s"/>
      <c r="J39" s="1949" t="s"/>
      <c r="K39" s="395" t="n">
        <f aca="false" ca="false" dt2D="false" dtr="false" t="normal">SUM(K38*K37)</f>
        <v>18498.60965007373</v>
      </c>
    </row>
    <row hidden="false" ht="12.75" outlineLevel="0" r="40">
      <c r="A40" s="398" t="n"/>
      <c r="B40" s="398" t="n"/>
      <c r="C40" s="398" t="n"/>
      <c r="D40" s="398" t="n"/>
      <c r="E40" s="398" t="n"/>
      <c r="F40" s="398" t="n"/>
      <c r="G40" s="398" t="n"/>
      <c r="H40" s="398" t="n"/>
      <c r="I40" s="398" t="n"/>
      <c r="J40" s="398" t="n"/>
      <c r="K40" s="398" t="n"/>
    </row>
    <row customHeight="true" hidden="false" ht="75.75" outlineLevel="0" r="41">
      <c r="A41" s="403" t="s">
        <v>274</v>
      </c>
      <c r="B41" s="403" t="s"/>
      <c r="C41" s="403" t="s"/>
      <c r="D41" s="403" t="s"/>
      <c r="E41" s="403" t="s"/>
      <c r="F41" s="403" t="s"/>
      <c r="G41" s="403" t="s"/>
      <c r="H41" s="403" t="s"/>
      <c r="I41" s="403" t="s"/>
      <c r="J41" s="403" t="s"/>
      <c r="K41" s="403" t="s"/>
    </row>
    <row customHeight="true" hidden="false" ht="31.5" outlineLevel="0" r="42">
      <c r="A42" s="169" t="s">
        <v>239</v>
      </c>
      <c r="B42" s="169" t="s">
        <v>240</v>
      </c>
      <c r="C42" s="1957" t="s"/>
      <c r="D42" s="1958" t="s"/>
      <c r="E42" s="1959" t="s"/>
      <c r="F42" s="1960" t="s"/>
      <c r="G42" s="1961" t="s"/>
      <c r="H42" s="1962" t="s"/>
      <c r="I42" s="1963" t="s"/>
      <c r="J42" s="1964" t="s"/>
      <c r="K42" s="417" t="s">
        <v>241</v>
      </c>
    </row>
    <row customHeight="true" hidden="false" ht="15.75" outlineLevel="0" r="43">
      <c r="A43" s="67" t="n">
        <v>1</v>
      </c>
      <c r="B43" s="177" t="s">
        <v>242</v>
      </c>
      <c r="C43" s="1965" t="s"/>
      <c r="D43" s="1966" t="s"/>
      <c r="E43" s="1967" t="s"/>
      <c r="F43" s="1968" t="s"/>
      <c r="G43" s="1969" t="s"/>
      <c r="H43" s="1970" t="s"/>
      <c r="I43" s="1971" t="s"/>
      <c r="J43" s="1972" t="s"/>
      <c r="K43" s="434" t="n">
        <f aca="false" ca="false" dt2D="false" dtr="false" t="normal">SUM(L10)</f>
        <v>9604.911776250001</v>
      </c>
    </row>
    <row customHeight="true" hidden="false" ht="15.75" outlineLevel="0" r="44">
      <c r="A44" s="67" t="n">
        <v>2</v>
      </c>
      <c r="B44" s="189" t="s">
        <v>243</v>
      </c>
      <c r="C44" s="1976" t="s"/>
      <c r="D44" s="1978" t="s"/>
      <c r="E44" s="1979" t="s"/>
      <c r="F44" s="1980" t="s"/>
      <c r="G44" s="1981" t="s"/>
      <c r="H44" s="1982" t="s"/>
      <c r="I44" s="1984" t="s"/>
      <c r="J44" s="1986" t="s"/>
      <c r="K44" s="434" t="n">
        <f aca="false" ca="false" dt2D="false" dtr="false" t="normal">SUM(L17)</f>
        <v>118.37</v>
      </c>
    </row>
    <row customHeight="true" hidden="false" ht="34.5" outlineLevel="0" r="45">
      <c r="A45" s="15" t="n">
        <v>3</v>
      </c>
      <c r="B45" s="177" t="s">
        <v>244</v>
      </c>
      <c r="C45" s="1991" t="s"/>
      <c r="D45" s="1992" t="s"/>
      <c r="E45" s="1993" t="s"/>
      <c r="F45" s="1994" t="s"/>
      <c r="G45" s="1995" t="s"/>
      <c r="H45" s="1996" t="s"/>
      <c r="I45" s="1997" t="s"/>
      <c r="J45" s="1999" t="s"/>
      <c r="K45" s="434" t="n">
        <f aca="false" ca="false" dt2D="false" dtr="false" t="normal">SUM(M24)</f>
        <v>211.674</v>
      </c>
    </row>
    <row customHeight="true" hidden="false" ht="15.75" outlineLevel="0" r="46">
      <c r="A46" s="15" t="n">
        <v>4</v>
      </c>
      <c r="B46" s="177" t="s">
        <v>245</v>
      </c>
      <c r="C46" s="2003" t="s"/>
      <c r="D46" s="2004" t="s"/>
      <c r="E46" s="2005" t="s"/>
      <c r="F46" s="2006" t="s"/>
      <c r="G46" s="2007" t="s"/>
      <c r="H46" s="2008" t="s"/>
      <c r="I46" s="2009" t="s"/>
      <c r="J46" s="2010" t="s"/>
      <c r="K46" s="434" t="n">
        <f aca="false" ca="false" dt2D="false" dtr="false" t="normal">SUM(K39)</f>
        <v>18498.60965007373</v>
      </c>
    </row>
    <row customHeight="true" hidden="false" ht="15.75" outlineLevel="0" r="47">
      <c r="A47" s="15" t="n">
        <v>5</v>
      </c>
      <c r="B47" s="189" t="s">
        <v>247</v>
      </c>
      <c r="C47" s="2017" t="s"/>
      <c r="D47" s="2018" t="s"/>
      <c r="E47" s="2019" t="s"/>
      <c r="F47" s="2020" t="s"/>
      <c r="G47" s="2021" t="s"/>
      <c r="H47" s="2023" t="s"/>
      <c r="I47" s="2024" t="s"/>
      <c r="J47" s="2025" t="s"/>
      <c r="K47" s="434" t="n">
        <f aca="false" ca="false" dt2D="false" dtr="false" t="normal">SUM(K43:K46)</f>
        <v>28433.56542632373</v>
      </c>
    </row>
    <row customHeight="true" hidden="false" ht="15.75" outlineLevel="0" r="48">
      <c r="A48" s="15" t="n">
        <v>6</v>
      </c>
      <c r="B48" s="189" t="s">
        <v>208</v>
      </c>
      <c r="C48" s="2030" t="s"/>
      <c r="D48" s="2032" t="s"/>
      <c r="E48" s="2034" t="s"/>
      <c r="F48" s="2035" t="s"/>
      <c r="G48" s="2036" t="s"/>
      <c r="H48" s="2037" t="s"/>
      <c r="I48" s="2038" t="s"/>
      <c r="J48" s="2040" t="s"/>
      <c r="K48" s="434" t="n">
        <f aca="false" ca="false" dt2D="false" dtr="false" t="normal">SUM(K47*0.22)</f>
        <v>6255.384393791221</v>
      </c>
    </row>
    <row customHeight="true" hidden="false" ht="15.75" outlineLevel="0" r="49">
      <c r="A49" s="67" t="n"/>
      <c r="B49" s="177" t="s">
        <v>211</v>
      </c>
      <c r="C49" s="2042" t="s"/>
      <c r="D49" s="2043" t="s"/>
      <c r="E49" s="2044" t="s"/>
      <c r="F49" s="2045" t="s"/>
      <c r="G49" s="2046" t="s"/>
      <c r="H49" s="2047" t="s"/>
      <c r="I49" s="2048" t="s"/>
      <c r="J49" s="2049" t="s"/>
      <c r="K49" s="512" t="n">
        <f aca="false" ca="false" dt2D="false" dtr="false" t="normal">SUM(K47:K48)-289</f>
        <v>34399.949820114954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87">
    <mergeCell ref="I3:O3"/>
    <mergeCell ref="A6:N6"/>
    <mergeCell ref="I8:K8"/>
    <mergeCell ref="L8:N8"/>
    <mergeCell ref="B8:C8"/>
    <mergeCell ref="D8:F8"/>
    <mergeCell ref="B9:C9"/>
    <mergeCell ref="D9:F9"/>
    <mergeCell ref="G8:H8"/>
    <mergeCell ref="B10:C10"/>
    <mergeCell ref="D10:F10"/>
    <mergeCell ref="G9:H9"/>
    <mergeCell ref="G10:H10"/>
    <mergeCell ref="I9:K9"/>
    <mergeCell ref="I10:K10"/>
    <mergeCell ref="L9:N9"/>
    <mergeCell ref="L10:N10"/>
    <mergeCell ref="B12:C12"/>
    <mergeCell ref="D12:F12"/>
    <mergeCell ref="G12:H12"/>
    <mergeCell ref="I12:K12"/>
    <mergeCell ref="L12:N12"/>
    <mergeCell ref="I13:K13"/>
    <mergeCell ref="B13:F13"/>
    <mergeCell ref="L13:N13"/>
    <mergeCell ref="B14:C14"/>
    <mergeCell ref="D14:F14"/>
    <mergeCell ref="G14:H14"/>
    <mergeCell ref="I14:K14"/>
    <mergeCell ref="L14:N14"/>
    <mergeCell ref="B15:C15"/>
    <mergeCell ref="D15:F15"/>
    <mergeCell ref="B16:C16"/>
    <mergeCell ref="D16:F16"/>
    <mergeCell ref="B17:C17"/>
    <mergeCell ref="D17:F17"/>
    <mergeCell ref="G15:H15"/>
    <mergeCell ref="G16:H16"/>
    <mergeCell ref="G17:H17"/>
    <mergeCell ref="I15:K15"/>
    <mergeCell ref="I16:K16"/>
    <mergeCell ref="I17:K17"/>
    <mergeCell ref="L15:N15"/>
    <mergeCell ref="L16:N16"/>
    <mergeCell ref="L17:N17"/>
    <mergeCell ref="M22:N22"/>
    <mergeCell ref="M21:N21"/>
    <mergeCell ref="B21:C21"/>
    <mergeCell ref="D21:F21"/>
    <mergeCell ref="B22:C22"/>
    <mergeCell ref="D22:F22"/>
    <mergeCell ref="H21:I21"/>
    <mergeCell ref="J21:L21"/>
    <mergeCell ref="H22:I22"/>
    <mergeCell ref="J22:L22"/>
    <mergeCell ref="M23:N23"/>
    <mergeCell ref="M24:N24"/>
    <mergeCell ref="J23:L23"/>
    <mergeCell ref="J24:L24"/>
    <mergeCell ref="H23:I23"/>
    <mergeCell ref="D23:F23"/>
    <mergeCell ref="B23:C23"/>
    <mergeCell ref="D24:F24"/>
    <mergeCell ref="H24:I24"/>
    <mergeCell ref="B24:C24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A41:K41"/>
    <mergeCell ref="B42:J42"/>
    <mergeCell ref="B43:J43"/>
    <mergeCell ref="B44:J44"/>
    <mergeCell ref="B45:J45"/>
    <mergeCell ref="B46:J46"/>
    <mergeCell ref="B47:J47"/>
    <mergeCell ref="B48:J48"/>
    <mergeCell ref="B49:J49"/>
  </mergeCells>
  <pageMargins bottom="0.75" footer="0.511811017990112" header="0.511811017990112" left="0.700000047683716" right="0.700000047683716" top="0.75"/>
  <pageSetup fitToHeight="1" fitToWidth="1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MyOffice-CoreFramework-Linux/36-1319.1058.9942.953.1@46b7dcda34ec2e7b641d33cb1d2b32a264be336a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1996-10-09T08:32:33Z</dcterms:created>
  <dcterms:modified xsi:type="dcterms:W3CDTF">2026-03-13T06:14:36Z</dcterms:modified>
</cp:coreProperties>
</file>