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30" windowWidth="11040" windowHeight="8100" tabRatio="750" activeTab="0"/>
  </bookViews>
  <sheets>
    <sheet name="таблицы в текст" sheetId="1" r:id="rId1"/>
    <sheet name="приложение 1" sheetId="2" r:id="rId2"/>
    <sheet name="приложение 2" sheetId="3" r:id="rId3"/>
  </sheets>
  <externalReferences>
    <externalReference r:id="rId6"/>
  </externalReferences>
  <definedNames>
    <definedName name="_01.янв.19">#REF!</definedName>
    <definedName name="month_in_per">'[1]Input'!$D$41</definedName>
    <definedName name="график">#REF!</definedName>
    <definedName name="Даты">#REF!</definedName>
    <definedName name="_xlnm.Print_Titles" localSheetId="1">'приложение 1'!$A:$A</definedName>
    <definedName name="_xlnm.Print_Titles" localSheetId="2">'приложение 2'!$A:$A,'приложение 2'!$7:$9</definedName>
    <definedName name="_xlnm.Print_Area" localSheetId="1">'приложение 1'!$A$1:$AF$33</definedName>
    <definedName name="_xlnm.Print_Area" localSheetId="2">'приложение 2'!$A$1:$AF$31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D33" authorId="0">
      <text>
        <r>
          <rPr>
            <sz val="9"/>
            <rFont val="Arial"/>
            <family val="2"/>
          </rPr>
          <t xml:space="preserve">Вписываете год, в который планируете начать проект
</t>
        </r>
      </text>
    </comment>
    <comment ref="D35" authorId="0">
      <text>
        <r>
          <rPr>
            <sz val="9"/>
            <rFont val="Arial"/>
            <family val="2"/>
          </rPr>
          <t xml:space="preserve">Вписываете номер шага (квартала). Например, "1" соответствует первому кварталу года, в который планируете начать проект, а "4" - 1 кварталу года, следующего за тем, в котором планируется начать проект
</t>
        </r>
      </text>
    </comment>
    <comment ref="D38" authorId="0">
      <text>
        <r>
          <rPr>
            <sz val="9"/>
            <rFont val="Tahoma"/>
            <family val="2"/>
          </rPr>
          <t>Вписываете номер шага (квартала). Например, "2" соответствует второму кварталу года, в который планируете начать проект, а "4" - первому кварталу года, следующего за тем, в котором планируется начать проект</t>
        </r>
      </text>
    </comment>
    <comment ref="E111" authorId="0">
      <text>
        <r>
          <rPr>
            <sz val="9"/>
            <rFont val="Arial"/>
            <family val="2"/>
          </rPr>
          <t xml:space="preserve">Кд - поправочный коэффициент к стоимости доставки оборудования. 
Ориентировочно Кд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- 1,1;
3. Центральная группа (Хангаласский, Намский, Горный муниципальные районы) - 1,3;
4. Арктическая группа (Абыйский, Аллаиховский, Анабарский, Булунский, Нижнеколымский, Оленекский муниципальные районы) - 1,4 </t>
        </r>
        <r>
          <rPr>
            <sz val="9"/>
            <rFont val="Tahoma"/>
            <family val="2"/>
          </rPr>
          <t xml:space="preserve">
Примечание: Вы можете указать точную стоимость доставки, тогда Кд следует принять равным 1.</t>
        </r>
      </text>
    </comment>
    <comment ref="D188" authorId="0">
      <text>
        <r>
          <rPr>
            <sz val="9"/>
            <rFont val="Tahoma"/>
            <family val="2"/>
          </rPr>
          <t>Нормы по видам тепловой энергии (ориентировочно) на кв. м площади:
1) центральное отопление - 0,5616 Гкал
2) электрические котлы - 671 кВт*ч
3) газовые котлы - 60 куб. м
4) уголь - 110 кг</t>
        </r>
      </text>
    </comment>
    <comment ref="E188" authorId="0">
      <text>
        <r>
          <rPr>
            <sz val="9"/>
            <rFont val="Arial"/>
            <family val="2"/>
          </rPr>
          <t>Коэффициент К1 - это поправка за климатическую зону.
К1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- 1,01;
3. Центральная группа (Хангаласский, Намский, Горный муниципальные районы) - 1,04;
4. Арктическая группа (Абыйский, Аллаиховский, Анабарский, Булунский, Нижнеколымский, Оленекский муниципальные районы) - 1,19</t>
        </r>
      </text>
    </comment>
    <comment ref="B234" authorId="0">
      <text>
        <r>
          <rPr>
            <sz val="9"/>
            <rFont val="Times New Roman"/>
            <family val="1"/>
          </rPr>
          <t xml:space="preserve">Рассчитать сумму налоговых отчислений можно на сайте ФНС России. Режим доступа: https://patent.nalog.ru/info/#
</t>
        </r>
      </text>
    </comment>
    <comment ref="B231" authorId="0">
      <text>
        <r>
          <rPr>
            <sz val="9"/>
            <rFont val="Times New Roman"/>
            <family val="1"/>
          </rPr>
          <t>Рассчитывается в размере 6% от суммы плановой выручки, то есть:
Выручка (табл. 4-6) х 0,06</t>
        </r>
      </text>
    </comment>
    <comment ref="B232" authorId="0">
      <text>
        <r>
          <rPr>
            <sz val="9"/>
            <rFont val="Times New Roman"/>
            <family val="1"/>
          </rPr>
          <t>Рассчитывается в размере 10% от суммы плановой выручки за минусом плановых расходов, то есть:
Выручка (табл. 4-6) минус Расходы (табл. 4-12) х 0,10</t>
        </r>
      </text>
    </comment>
    <comment ref="B233" authorId="0">
      <text>
        <r>
          <rPr>
            <sz val="9"/>
            <rFont val="Times New Roman"/>
            <family val="1"/>
          </rPr>
          <t>Рассчитать сумму налоговых отчислений можно на сайте ФНС России. Режим доступа:
https://www.nalog.ru/rn14/taxation/taxes/envd/</t>
        </r>
      </text>
    </comment>
    <comment ref="B258" authorId="0">
      <text>
        <r>
          <rPr>
            <sz val="9"/>
            <rFont val="Times New Roman"/>
            <family val="1"/>
          </rPr>
          <t>Некапитализируемые расходы - это расходы не вошедшие в другие группы расходов, но требуемые для начала реализации проекта (например, расходы на обучение персонала, расходы на маркетинг, авансовая оплата за аренду и др.).</t>
        </r>
      </text>
    </comment>
    <comment ref="H14" authorId="0">
      <text>
        <r>
          <rPr>
            <sz val="9"/>
            <rFont val="Tahoma"/>
            <family val="2"/>
          </rPr>
          <t>Ячейка с примечанием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<sst xmlns="http://schemas.openxmlformats.org/spreadsheetml/2006/main" count="488" uniqueCount="350">
  <si>
    <t>Индекс доходности инвестиций</t>
  </si>
  <si>
    <t>Внутренняя норма доходности</t>
  </si>
  <si>
    <t>Показатель</t>
  </si>
  <si>
    <t>Ед. изм.</t>
  </si>
  <si>
    <t>2 кв.</t>
  </si>
  <si>
    <t>Показатели</t>
  </si>
  <si>
    <t>всего</t>
  </si>
  <si>
    <t>по кварталам</t>
  </si>
  <si>
    <t>тыс. руб.</t>
  </si>
  <si>
    <t>в том числе:</t>
  </si>
  <si>
    <t>ВСЕГО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</si>
  <si>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</si>
  <si>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</si>
  <si>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</si>
  <si>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</si>
  <si>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</si>
  <si>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</si>
  <si>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</si>
  <si>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</si>
  <si>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</si>
  <si>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</si>
  <si>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</si>
  <si>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</si>
  <si>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</si>
  <si>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</si>
  <si>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1 кв</t>
  </si>
  <si>
    <t>3 кв</t>
  </si>
  <si>
    <t>4 кв</t>
  </si>
  <si>
    <t>Выплаты всего</t>
  </si>
  <si>
    <t>Возврат основного долга</t>
  </si>
  <si>
    <t>-</t>
  </si>
  <si>
    <t>Материальные расходы</t>
  </si>
  <si>
    <t>Амортизация</t>
  </si>
  <si>
    <t>на уплату процентов по займу в инвест.период</t>
  </si>
  <si>
    <t>%</t>
  </si>
  <si>
    <t>лет</t>
  </si>
  <si>
    <t>х</t>
  </si>
  <si>
    <t>4 кв.</t>
  </si>
  <si>
    <t>1 кв.</t>
  </si>
  <si>
    <t>3 кв.</t>
  </si>
  <si>
    <t xml:space="preserve">Проценты на привлеченные долговые обязательства </t>
  </si>
  <si>
    <t xml:space="preserve">Прибыль до налогообложения </t>
  </si>
  <si>
    <t xml:space="preserve">Чистая прибыль - NP </t>
  </si>
  <si>
    <t xml:space="preserve">Поток от операционной деятельности </t>
  </si>
  <si>
    <t>Привлечение заемных средств</t>
  </si>
  <si>
    <t>Поток от инвестиционной деятельности</t>
  </si>
  <si>
    <t xml:space="preserve">Собственный капитал </t>
  </si>
  <si>
    <t>Расходы по выплате процентов</t>
  </si>
  <si>
    <t xml:space="preserve">Расходы по погашению долговых обязательств </t>
  </si>
  <si>
    <t xml:space="preserve">Поток от финансовой деятельности </t>
  </si>
  <si>
    <t>Кэш-фло на начало периода</t>
  </si>
  <si>
    <t>Кэш-фло на конец периода</t>
  </si>
  <si>
    <t xml:space="preserve">Чистые денежные потоки от всех видов деятельности </t>
  </si>
  <si>
    <t>Данные  для текстовой части бизнес-плана</t>
  </si>
  <si>
    <t>ПРАВИЛА ЗАПОЛНЕНИЯ ТАБЛИЦ</t>
  </si>
  <si>
    <t>2. Комментарии к заполнению находятся в примечаниях к ячейкам</t>
  </si>
  <si>
    <t>Для того, чтобы увидеть примечание, надо встать на ячейку с красным треугольником в углу</t>
  </si>
  <si>
    <t>Год начала проекта</t>
  </si>
  <si>
    <t>(вписываете год)</t>
  </si>
  <si>
    <t>Шаг начала проекта</t>
  </si>
  <si>
    <t>УСЛОВИЯ И ДОПУЩЕНИЯ, ПРИНЯТЫЕ В РАСЧЕТАХ</t>
  </si>
  <si>
    <t>квартал</t>
  </si>
  <si>
    <t>Период расчетов</t>
  </si>
  <si>
    <t>5 лет</t>
  </si>
  <si>
    <t>Шаг расчетов</t>
  </si>
  <si>
    <t>Количество шагов</t>
  </si>
  <si>
    <t>Шаг начала эксплуатационной стадии</t>
  </si>
  <si>
    <t>(вписывает квартал, в котором планируется финансирование проекта)</t>
  </si>
  <si>
    <t>(вписывает квартал, в котором планируете начать производство и реализацию)</t>
  </si>
  <si>
    <t>ВРЕМЕННЫЕ ПРЕДПОСЫЛКИ</t>
  </si>
  <si>
    <t>КАДРОВОЕ ОБЕСПЕЧЕНИЕ ПРОЕКТА</t>
  </si>
  <si>
    <t>Должность</t>
  </si>
  <si>
    <t>Число работников, ед.</t>
  </si>
  <si>
    <t>Итого</t>
  </si>
  <si>
    <t>1. Не заполняются только ячейки, выделенные зеленым цветом</t>
  </si>
  <si>
    <t>Заполните таблицу:</t>
  </si>
  <si>
    <t>Вы можете менять значения в любых ячейках, которые не выделены цветом</t>
  </si>
  <si>
    <t>Цена, руб. за ед.</t>
  </si>
  <si>
    <t>Доставка оборудования:</t>
  </si>
  <si>
    <t>Поправочный коэффициент по доставке (Кд):</t>
  </si>
  <si>
    <t>Сумма, тыс. руб.</t>
  </si>
  <si>
    <t>Доставка оборудования с учетом Кд:</t>
  </si>
  <si>
    <t>ПРОИЗВОДСТВЕННЫЕ ПОКАЗАТЕЛИ</t>
  </si>
  <si>
    <t xml:space="preserve">Количество календарных дней </t>
  </si>
  <si>
    <t>Количество рабочих дней в периоде</t>
  </si>
  <si>
    <t>Продукция</t>
  </si>
  <si>
    <t>Цена за единицу, руб.</t>
  </si>
  <si>
    <t>Выручка, тыс. руб.</t>
  </si>
  <si>
    <t>в день</t>
  </si>
  <si>
    <t>в год</t>
  </si>
  <si>
    <t>ТЕКУЩИЕ РАСХОДЫ</t>
  </si>
  <si>
    <t>Значение показателя</t>
  </si>
  <si>
    <t>Тариф, руб. за кВт</t>
  </si>
  <si>
    <t>Расход в год, тыс. руб.</t>
  </si>
  <si>
    <t>Входные данные (условия и допущения)</t>
  </si>
  <si>
    <t>Численность рабочих, чел.</t>
  </si>
  <si>
    <t>Тариф на воду, руб. за куб. м</t>
  </si>
  <si>
    <t>Тариф на сток воды, руб. за куб. м</t>
  </si>
  <si>
    <t>Вид работ</t>
  </si>
  <si>
    <t>Норма потребления, куб. м</t>
  </si>
  <si>
    <t>Расход в год, куб. м</t>
  </si>
  <si>
    <t>Расходы в год, тыс. руб.</t>
  </si>
  <si>
    <t>вода</t>
  </si>
  <si>
    <t>сточные воды</t>
  </si>
  <si>
    <t xml:space="preserve">сточные воды </t>
  </si>
  <si>
    <t>Нужды персонала</t>
  </si>
  <si>
    <t>0,0025 в дн.</t>
  </si>
  <si>
    <t>Система отопления (вид ресурса)</t>
  </si>
  <si>
    <t>Тепловая нагрузка, ед. на кв. м в год</t>
  </si>
  <si>
    <t>Коэф-фициент К1</t>
  </si>
  <si>
    <t>Площадь, кв. м</t>
  </si>
  <si>
    <t>Объем потреб-ления, ед. в год</t>
  </si>
  <si>
    <t>Тариф, руб. за ед.</t>
  </si>
  <si>
    <t>куб. м</t>
  </si>
  <si>
    <t>* К1 – поправочный коэффициент за климатическую зону</t>
  </si>
  <si>
    <t>Статья расходов</t>
  </si>
  <si>
    <t>Тариф, руб. за кв. м</t>
  </si>
  <si>
    <t>Аренда</t>
  </si>
  <si>
    <t>Актив</t>
  </si>
  <si>
    <t>Срок службы, лет</t>
  </si>
  <si>
    <t>Норма амортизации</t>
  </si>
  <si>
    <t>Балансовая стоимость, тыс. руб.</t>
  </si>
  <si>
    <t>Амортизация в год, тыс. руб.</t>
  </si>
  <si>
    <t>Здание</t>
  </si>
  <si>
    <t>Оборудование</t>
  </si>
  <si>
    <t>Сумма расходов в год, тыс. руб.</t>
  </si>
  <si>
    <t>Расходы на услуги связи</t>
  </si>
  <si>
    <t>Расходы на маркетинг (контентная реклама, печатная продукция)</t>
  </si>
  <si>
    <t>Расходы на охрану</t>
  </si>
  <si>
    <t>4-12. Структура себестоимости</t>
  </si>
  <si>
    <t>Структура</t>
  </si>
  <si>
    <t>Расходы на ФОТ</t>
  </si>
  <si>
    <t>Расходы на электроэнергию</t>
  </si>
  <si>
    <t>Расходы на воду</t>
  </si>
  <si>
    <t>Расходы на отопление</t>
  </si>
  <si>
    <t>Расходы на аренду</t>
  </si>
  <si>
    <t>Прочие расходы</t>
  </si>
  <si>
    <t>НАЛОГИ</t>
  </si>
  <si>
    <t>5-1. Годовая сумма налоговых отчислений</t>
  </si>
  <si>
    <t>Патент</t>
  </si>
  <si>
    <t>УСН (доходы)</t>
  </si>
  <si>
    <t>ЕНВД</t>
  </si>
  <si>
    <t>УСН (расходы)</t>
  </si>
  <si>
    <t>Структура, в процентах к итогу</t>
  </si>
  <si>
    <t>Нематериальные активы</t>
  </si>
  <si>
    <t>Основные фонды</t>
  </si>
  <si>
    <t>5-2. Источники финансирования проекта</t>
  </si>
  <si>
    <t>Источник финансирования</t>
  </si>
  <si>
    <t>Заемное финансирование в Фонде РП РС(Я)</t>
  </si>
  <si>
    <t>Лизинг в Региональной лизинговой компании</t>
  </si>
  <si>
    <t>Банковское (или иное) кредитование</t>
  </si>
  <si>
    <t>Собственные средства</t>
  </si>
  <si>
    <t>5-3. Инвестиции в проект</t>
  </si>
  <si>
    <t>ИСТОЧНИКИ ФИНАНСИРОВАНИЯ И ИНВЕСТИЦИИ В ПРОЕКТ</t>
  </si>
  <si>
    <t>5-4. График гашения и обслуживания долговых обязательств</t>
  </si>
  <si>
    <t>Остаточная стоимость</t>
  </si>
  <si>
    <t>Срок, лет</t>
  </si>
  <si>
    <t>Процентная ставка, %</t>
  </si>
  <si>
    <t>Условия привлечения средств:</t>
  </si>
  <si>
    <t>Отсрочка по выплате долга, мес.</t>
  </si>
  <si>
    <t>Долговое финансирование</t>
  </si>
  <si>
    <t>Источники собственного капитала</t>
  </si>
  <si>
    <t>Иное: гранты и т.п. (указать)</t>
  </si>
  <si>
    <t>Приложение 1</t>
  </si>
  <si>
    <t xml:space="preserve">3. Просмотрите лист до конца, чтобы заполнить все таблицы </t>
  </si>
  <si>
    <t>НАЗВАНИЕ ПРОЕКТА:</t>
  </si>
  <si>
    <t>ПЛАН ПО ПРИБЫЛИ, тыс. руб.</t>
  </si>
  <si>
    <t xml:space="preserve">Выручка </t>
  </si>
  <si>
    <t>2 год</t>
  </si>
  <si>
    <t>3 год</t>
  </si>
  <si>
    <t>4 год</t>
  </si>
  <si>
    <t>5 год</t>
  </si>
  <si>
    <t>Плановые темпы роста объемов производства</t>
  </si>
  <si>
    <t>Переменные расходы</t>
  </si>
  <si>
    <t>Валовая прибыль</t>
  </si>
  <si>
    <t>Постоянные расходы</t>
  </si>
  <si>
    <t>Оплата процентов</t>
  </si>
  <si>
    <t>2 кв</t>
  </si>
  <si>
    <t>Количество дней в периоде</t>
  </si>
  <si>
    <t>Оплата процентов всего</t>
  </si>
  <si>
    <t>Возврат основного долга всего</t>
  </si>
  <si>
    <t>Операционная прибыль</t>
  </si>
  <si>
    <t>Налоги в составе себестоимости: ЕНВД, патент</t>
  </si>
  <si>
    <t>Индекс-дефлятор</t>
  </si>
  <si>
    <t>Индекс потребительских цен на товары и услуги</t>
  </si>
  <si>
    <t>Индекс-дефлятор: реальная заработная плата</t>
  </si>
  <si>
    <t>Индекс-дефлятор: газ, вода, электроэнергия</t>
  </si>
  <si>
    <t xml:space="preserve">Налог по УСН </t>
  </si>
  <si>
    <t xml:space="preserve">база: доходы </t>
  </si>
  <si>
    <t>база: доходы минус расходы</t>
  </si>
  <si>
    <t>Приложение 2</t>
  </si>
  <si>
    <t>ПЛАН ДВИЖЕНИЯ ДЕНЕГ, тыс. руб.</t>
  </si>
  <si>
    <t>ОПЕРАЦИОННАЯ ДЕЯТЕЛЬНОСТЬ</t>
  </si>
  <si>
    <t>Текущие расходы проекта</t>
  </si>
  <si>
    <t>Налоги</t>
  </si>
  <si>
    <t>в том числе: амортизация</t>
  </si>
  <si>
    <t>Инвестиции в проект</t>
  </si>
  <si>
    <t>на финансирование проекта</t>
  </si>
  <si>
    <t>ИНВЕСТИЦИАОННАЯ ДЕЯТЕЛЬНОСТЬ</t>
  </si>
  <si>
    <t>ФИНАНСОВАЯ ДЕЯТЕЛЬНОСТЬ</t>
  </si>
  <si>
    <t>ЭКОНОМИЧЕСКАЯ ОЦЕНКА</t>
  </si>
  <si>
    <t>(заполните условия привлечения средств)</t>
  </si>
  <si>
    <t>Частично заполните таблицы:</t>
  </si>
  <si>
    <t>Частично или полностью заполните таблицы:</t>
  </si>
  <si>
    <t>Частично заполните таблицу:</t>
  </si>
  <si>
    <t>1.</t>
  </si>
  <si>
    <t>2.</t>
  </si>
  <si>
    <t>5.5. Расчет точки безубыточности</t>
  </si>
  <si>
    <t>Точка безубыточности (критический объем выручки)</t>
  </si>
  <si>
    <t>Запас финансовой прочности</t>
  </si>
  <si>
    <t>Запас финансовой прочности, в процентах</t>
  </si>
  <si>
    <t>5.6. Расчет показателей эффективности проекта</t>
  </si>
  <si>
    <t>Чистый денежный доход (NPV)</t>
  </si>
  <si>
    <t>Значение</t>
  </si>
  <si>
    <t>Валюта расчета</t>
  </si>
  <si>
    <t>(все таблицы заполняются в тыс. руб., если не указано иное)</t>
  </si>
  <si>
    <t>Критерий приемлемости</t>
  </si>
  <si>
    <t>&gt;0</t>
  </si>
  <si>
    <t>&gt;1</t>
  </si>
  <si>
    <t>&gt; ставки по кредиту</t>
  </si>
  <si>
    <t>мес</t>
  </si>
  <si>
    <t>&lt; срока проекта</t>
  </si>
  <si>
    <t>Дисконтированный денежный поток</t>
  </si>
  <si>
    <t>Накопленное сальдо</t>
  </si>
  <si>
    <t>Период окупаемости (от начала эксплуатации проекта)</t>
  </si>
  <si>
    <t>Не запоняйте таблицы (заполняются автоматически)</t>
  </si>
  <si>
    <t>Сценарий прогноза</t>
  </si>
  <si>
    <t>(в текущих ценах (ставите 1) или в прогнозных ценах (ставите 2)</t>
  </si>
  <si>
    <t>Индекс-дефлятор, принятый в расчетах</t>
  </si>
  <si>
    <t>Проверка</t>
  </si>
  <si>
    <t>4.</t>
  </si>
  <si>
    <t>5.</t>
  </si>
  <si>
    <t>6.</t>
  </si>
  <si>
    <t>7.</t>
  </si>
  <si>
    <t>8.</t>
  </si>
  <si>
    <t>Кэш-фло на конец периода не должно быть &lt;0</t>
  </si>
  <si>
    <t>Общехозяйственные и прочие непредвиденные (0,5% от выручки)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</si>
  <si>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</si>
  <si>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</si>
  <si>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</si>
  <si>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</si>
  <si>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</si>
  <si>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</si>
  <si>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</si>
  <si>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</si>
  <si>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</si>
  <si>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</si>
  <si>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</si>
  <si>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</si>
  <si>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</si>
  <si>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</si>
  <si>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Старший мастер</t>
  </si>
  <si>
    <t>Моторист/мастер по ремонту двигателей</t>
  </si>
  <si>
    <t>Автомеханик</t>
  </si>
  <si>
    <t>Автоэлектрик</t>
  </si>
  <si>
    <t>Техник автомойки, разнорабочий</t>
  </si>
  <si>
    <t>Оплата труда, % от выручки</t>
  </si>
  <si>
    <t>3-1. Штатное расписание персонала проекта</t>
  </si>
  <si>
    <t>Рихтовщик /Автомаляр/Полировщик/</t>
  </si>
  <si>
    <t>Производственное оборудование</t>
  </si>
  <si>
    <t>Автомобильный подъемник</t>
  </si>
  <si>
    <t xml:space="preserve">Двухстоечный подъемник </t>
  </si>
  <si>
    <t xml:space="preserve">Аппарат для замены масла в АКПП </t>
  </si>
  <si>
    <t xml:space="preserve">Гайковёрт пневматический </t>
  </si>
  <si>
    <t xml:space="preserve">Пневмогайковерт </t>
  </si>
  <si>
    <t>Количество</t>
  </si>
  <si>
    <t xml:space="preserve">Стенд для проверки и очистки форсунок </t>
  </si>
  <si>
    <t>Стетоскоп механика</t>
  </si>
  <si>
    <t xml:space="preserve">Манометр давления масла в двигателе </t>
  </si>
  <si>
    <t xml:space="preserve">Компрессометр бензиновый </t>
  </si>
  <si>
    <t xml:space="preserve">Манометр давления топлива </t>
  </si>
  <si>
    <t xml:space="preserve">Мультимарочный сканер </t>
  </si>
  <si>
    <t xml:space="preserve">Автомобильный 2-х компонентный газоанализатор </t>
  </si>
  <si>
    <t xml:space="preserve">Инфракрасный стенд сход-развал </t>
  </si>
  <si>
    <t>Инструментальная тележка 7 ящиков 144 предмета.</t>
  </si>
  <si>
    <t xml:space="preserve">Пресс пневмогидравлический </t>
  </si>
  <si>
    <t xml:space="preserve">Кран гидравлический </t>
  </si>
  <si>
    <t>Катушка со шлангом для удаления выхлопных газов</t>
  </si>
  <si>
    <t xml:space="preserve">Центробежный вентилятор для вытяжки выхлопных газов </t>
  </si>
  <si>
    <t xml:space="preserve">Пуско-зарядное устройство </t>
  </si>
  <si>
    <t xml:space="preserve">Мойка высокого давления </t>
  </si>
  <si>
    <t>Верстак двухтумбовый</t>
  </si>
  <si>
    <t>Табурет механика</t>
  </si>
  <si>
    <t xml:space="preserve">Трансмиссионная стойка </t>
  </si>
  <si>
    <t>Съемник пружин</t>
  </si>
  <si>
    <t xml:space="preserve">Установка для замены масла </t>
  </si>
  <si>
    <t>Одежда для рабочих</t>
  </si>
  <si>
    <t>Комплекты одежды для рабочих</t>
  </si>
  <si>
    <t>Техника и мебель</t>
  </si>
  <si>
    <t>Кассовый аппарат</t>
  </si>
  <si>
    <t>Платежный терминал для банковских карт</t>
  </si>
  <si>
    <t>Ноутбук</t>
  </si>
  <si>
    <t>Принтер</t>
  </si>
  <si>
    <t>Набор офисной мебели</t>
  </si>
  <si>
    <t>Программное обеспечение</t>
  </si>
  <si>
    <t xml:space="preserve">Программные продукты </t>
  </si>
  <si>
    <t>Всего:</t>
  </si>
  <si>
    <t>Наименование</t>
  </si>
  <si>
    <t>На данном листе находятся таблицы, которые после заполнения вы вставите в описательную часть бизнес-плана</t>
  </si>
  <si>
    <t>Первая цифра номера таблицы означает номер раздела в бизнес-плане</t>
  </si>
  <si>
    <t>Заполните ячейки:</t>
  </si>
  <si>
    <t>Объем работ, ед.</t>
  </si>
  <si>
    <t>Ремонт (диагностика) ходовой части (передних и задних подвесок)</t>
  </si>
  <si>
    <t>Ремонт (диагностика) трансмиссии</t>
  </si>
  <si>
    <t>Ремонт (диагностика) двигателя</t>
  </si>
  <si>
    <t>Ремонт (диагностика) тормозной системы</t>
  </si>
  <si>
    <t>Ремонт (диагностика) системы охлаждения</t>
  </si>
  <si>
    <t>Ремонт (диагностика) глушителя</t>
  </si>
  <si>
    <t>Автомойка</t>
  </si>
  <si>
    <t>Силовая электроэнергия, кВт/ч</t>
  </si>
  <si>
    <t>Осветительная электроэнергия, кВт/ч</t>
  </si>
  <si>
    <t xml:space="preserve">Расход силовой электроэнергии в год, кВт*ч </t>
  </si>
  <si>
    <t>Расход на освещение в год, кВт*ч</t>
  </si>
  <si>
    <t xml:space="preserve">Расход в год, кВт*ч </t>
  </si>
  <si>
    <t>Расход воды на работу автомойки</t>
  </si>
  <si>
    <t xml:space="preserve">0,115 куб. м на авто </t>
  </si>
  <si>
    <t xml:space="preserve">Моющие средства - автомойка (12% от стоимости заказа) </t>
  </si>
  <si>
    <t>Вид материала</t>
  </si>
  <si>
    <t>Среднегодовой оборот авто на мойку</t>
  </si>
  <si>
    <t>Автономное: электрокотлы</t>
  </si>
  <si>
    <t>ЗДАНИЕ И ТЕХНОЛОГИЧЕСКОЕ ОБОРУДОВАНИЕ ПРОЕКТА</t>
  </si>
  <si>
    <t>4-1. Расходы на строительство здания автосервиса</t>
  </si>
  <si>
    <t>Каркас здания</t>
  </si>
  <si>
    <t>Сэндвич-панели, крыша, стены</t>
  </si>
  <si>
    <t>Основание и полы</t>
  </si>
  <si>
    <t>Монтаж конструкций</t>
  </si>
  <si>
    <t>Доставка материалов</t>
  </si>
  <si>
    <t>3.</t>
  </si>
  <si>
    <t>4-2. Перечень основных фондов и нематериальных активов проекта</t>
  </si>
  <si>
    <t>4-3. Сезонность проекта по кварталам календарного года</t>
  </si>
  <si>
    <t>4-4. Календарный годовой план работы автосервиса</t>
  </si>
  <si>
    <t xml:space="preserve">4-6. Производственно-сбытовой план </t>
  </si>
  <si>
    <t>4-7. Расчет материальных расходов</t>
  </si>
  <si>
    <t xml:space="preserve">4-8. Расчет расходов на фонд оплаты труда </t>
  </si>
  <si>
    <t>4-9. Расчет расходов на потребляемую электроэнергию</t>
  </si>
  <si>
    <t>4-10. Расчет расходов на потребление воды и сточные воды</t>
  </si>
  <si>
    <t>4-11. Расчет расходов на тепловую энергию</t>
  </si>
  <si>
    <t>Расчет расходов на аренду</t>
  </si>
  <si>
    <t>4-12. Расчет амортизационных отчислений</t>
  </si>
  <si>
    <t>Спецодежда</t>
  </si>
  <si>
    <t>Нематериальные активы (ПО)</t>
  </si>
  <si>
    <t>Расходы на аренду земельного участка</t>
  </si>
  <si>
    <t>4-13. Расчет прочих расходов</t>
  </si>
  <si>
    <t>Сумма расходов, тыс. руб.</t>
  </si>
  <si>
    <t>Вид налогообложения</t>
  </si>
  <si>
    <t>Оборотные активы (спецодежда)</t>
  </si>
  <si>
    <t>Некапитализуемые расходы</t>
  </si>
  <si>
    <t>Всего 22 таблицы, находящиеся на данном листе</t>
  </si>
  <si>
    <t>Техническое обслуживание</t>
  </si>
  <si>
    <t>Бизнес-план Создание автомастерской в п. ХХХ ХХХ района Республики Саха (Якутия)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</si>
</sst>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0"/>
    <numFmt numFmtId="176" formatCode="#,##0.00_ ;[Red]\-#,##0.00\ "/>
    <numFmt numFmtId="177" formatCode="#,##0.0"/>
    <numFmt numFmtId="178" formatCode="#,##0.000"/>
    <numFmt numFmtId="179" formatCode="#,##0.000_ ;[Red]\-#,##0.000\ "/>
    <numFmt numFmtId="180" formatCode="0.000"/>
    <numFmt numFmtId="181" formatCode="_-* #,##0.0_р_._-;\-* #,##0.0_р_._-;_-* &quot;-&quot;??_р_._-;_-@_-"/>
    <numFmt numFmtId="182" formatCode="_-* #,##0_р_._-;\-* #,##0_р_._-;_-* &quot;-&quot;??_р_._-;_-@_-"/>
    <numFmt numFmtId="183" formatCode="#,##0.00000"/>
    <numFmt numFmtId="184" formatCode="_-* #,##0.000_р_._-;\-* #,##0.000_р_._-;_-* &quot;-&quot;??_р_._-;_-@_-"/>
    <numFmt numFmtId="185" formatCode="_-* #,##0.000\ _р_._-;\-* #,##0.000\ _р_._-;_-* &quot;-&quot;???\ _р_._-;_-@_-"/>
    <numFmt numFmtId="186" formatCode="#\ ##0.0_ ;[Red]\-#\ 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_р_._-;\-* #,##0.000_р_._-;_-* &quot;-&quot;???_р_._-;_-@_-"/>
    <numFmt numFmtId="192" formatCode="_-* #,##0.0_р_._-;\-* #,##0.0_р_._-;_-* &quot;-&quot;?_р_._-;_-@_-"/>
    <numFmt numFmtId="193" formatCode="0.0%"/>
    <numFmt numFmtId="194" formatCode="0.0000%"/>
    <numFmt numFmtId="195" formatCode="_-* #,##0.0\ _₽_-;\-* #,##0.0\ _₽_-;_-* &quot;-&quot;?\ _₽_-;_-@_-"/>
    <numFmt numFmtId="196" formatCode="#,##0.0000_ ;[Red]\-#,##0.0000\ "/>
    <numFmt numFmtId="197" formatCode="#,##0.00000_ ;[Red]\-#,##0.00000\ "/>
    <numFmt numFmtId="198" formatCode="0.00000000"/>
    <numFmt numFmtId="199" formatCode="0.0000000"/>
    <numFmt numFmtId="200" formatCode="0.000000"/>
    <numFmt numFmtId="201" formatCode="0.00000"/>
    <numFmt numFmtId="202" formatCode="0.000000000"/>
    <numFmt numFmtId="203" formatCode="_-* #,##0.000\ _₽_-;\-* #,##0.000\ _₽_-;_-* &quot;-&quot;???\ _₽_-;_-@_-"/>
    <numFmt numFmtId="204" formatCode="#,##0.0000"/>
    <numFmt numFmtId="205" formatCode="#,##0;[Red]\(#,##0\);\-"/>
    <numFmt numFmtId="206" formatCode="_-* #,##0.0\ &quot;₽&quot;_-;\-* #,##0.0\ &quot;₽&quot;_-;_-* &quot;-&quot;?\ &quot;₽&quot;_-;_-@_-"/>
    <numFmt numFmtId="207" formatCode="#,##0.0_ ;\-#,##0.0\ "/>
  </numFmts>
  <fonts count="109">
    <font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1"/>
      <name val="MS Sans Serif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5" tint="-0.4999699890613556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sz val="11"/>
      <color theme="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F932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205" fontId="68" fillId="19" borderId="0" applyNumberFormat="0" applyBorder="0" applyAlignment="0"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8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56" applyNumberFormat="1" applyFont="1" applyBorder="1" applyAlignment="1">
      <alignment vertical="top" wrapText="1"/>
      <protection/>
    </xf>
    <xf numFmtId="3" fontId="1" fillId="0" borderId="10" xfId="56" applyNumberFormat="1" applyFont="1" applyFill="1" applyBorder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1" fillId="0" borderId="10" xfId="56" applyNumberFormat="1" applyFont="1" applyBorder="1" applyAlignment="1">
      <alignment vertical="top" wrapText="1"/>
      <protection/>
    </xf>
    <xf numFmtId="171" fontId="0" fillId="0" borderId="0" xfId="65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3" fontId="1" fillId="0" borderId="10" xfId="56" applyNumberFormat="1" applyFont="1" applyFill="1" applyBorder="1" applyAlignment="1">
      <alignment vertical="top" wrapText="1"/>
      <protection/>
    </xf>
    <xf numFmtId="3" fontId="1" fillId="0" borderId="0" xfId="56" applyNumberFormat="1" applyFont="1">
      <alignment/>
      <protection/>
    </xf>
    <xf numFmtId="3" fontId="1" fillId="0" borderId="0" xfId="56" applyNumberFormat="1" applyFont="1" applyAlignment="1">
      <alignment vertical="top" wrapText="1"/>
      <protection/>
    </xf>
    <xf numFmtId="172" fontId="1" fillId="0" borderId="0" xfId="0" applyNumberFormat="1" applyFont="1" applyAlignment="1">
      <alignment/>
    </xf>
    <xf numFmtId="3" fontId="9" fillId="0" borderId="10" xfId="56" applyNumberFormat="1" applyFont="1" applyFill="1" applyBorder="1" applyAlignment="1">
      <alignment vertical="top" wrapText="1"/>
      <protection/>
    </xf>
    <xf numFmtId="3" fontId="13" fillId="0" borderId="0" xfId="56" applyNumberFormat="1" applyFont="1" applyAlignment="1">
      <alignment vertical="top" wrapText="1"/>
      <protection/>
    </xf>
    <xf numFmtId="173" fontId="1" fillId="0" borderId="10" xfId="0" applyNumberFormat="1" applyFont="1" applyBorder="1" applyAlignment="1">
      <alignment vertical="top"/>
    </xf>
    <xf numFmtId="173" fontId="1" fillId="0" borderId="10" xfId="0" applyNumberFormat="1" applyFont="1" applyFill="1" applyBorder="1" applyAlignment="1">
      <alignment vertical="top" wrapText="1"/>
    </xf>
    <xf numFmtId="3" fontId="7" fillId="0" borderId="0" xfId="56" applyNumberFormat="1" applyFont="1">
      <alignment/>
      <protection/>
    </xf>
    <xf numFmtId="3" fontId="7" fillId="0" borderId="0" xfId="56" applyNumberFormat="1" applyFont="1" applyAlignment="1">
      <alignment wrapText="1"/>
      <protection/>
    </xf>
    <xf numFmtId="3" fontId="1" fillId="0" borderId="10" xfId="56" applyNumberFormat="1" applyFont="1" applyBorder="1" applyAlignment="1">
      <alignment horizontal="center"/>
      <protection/>
    </xf>
    <xf numFmtId="3" fontId="1" fillId="0" borderId="10" xfId="0" applyNumberFormat="1" applyFont="1" applyBorder="1" applyAlignment="1">
      <alignment horizontal="center" vertical="top"/>
    </xf>
    <xf numFmtId="3" fontId="5" fillId="0" borderId="0" xfId="56" applyNumberFormat="1" applyFont="1">
      <alignment/>
      <protection/>
    </xf>
    <xf numFmtId="3" fontId="5" fillId="0" borderId="0" xfId="56" applyNumberFormat="1" applyFont="1">
      <alignment/>
      <protection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5" fillId="0" borderId="0" xfId="56" applyNumberFormat="1" applyFont="1" applyFill="1" applyAlignment="1">
      <alignment vertical="top" wrapText="1"/>
      <protection/>
    </xf>
    <xf numFmtId="3" fontId="1" fillId="0" borderId="0" xfId="56" applyNumberFormat="1" applyFont="1" applyAlignment="1">
      <alignment wrapText="1"/>
      <protection/>
    </xf>
    <xf numFmtId="3" fontId="16" fillId="0" borderId="0" xfId="56" applyNumberFormat="1" applyFont="1" applyFill="1" applyAlignment="1">
      <alignment vertical="top" wrapText="1"/>
      <protection/>
    </xf>
    <xf numFmtId="3" fontId="84" fillId="0" borderId="0" xfId="56" applyNumberFormat="1" applyFont="1">
      <alignment/>
      <protection/>
    </xf>
    <xf numFmtId="3" fontId="85" fillId="0" borderId="0" xfId="56" applyNumberFormat="1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6" fillId="33" borderId="0" xfId="0" applyNumberFormat="1" applyFont="1" applyFill="1" applyBorder="1" applyAlignment="1" applyProtection="1">
      <alignment vertical="top"/>
      <protection/>
    </xf>
    <xf numFmtId="0" fontId="86" fillId="34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1" fillId="35" borderId="0" xfId="0" applyNumberFormat="1" applyFont="1" applyFill="1" applyBorder="1" applyAlignment="1" applyProtection="1">
      <alignment vertical="top"/>
      <protection/>
    </xf>
    <xf numFmtId="0" fontId="19" fillId="35" borderId="0" xfId="0" applyNumberFormat="1" applyFont="1" applyFill="1" applyBorder="1" applyAlignment="1" applyProtection="1">
      <alignment vertical="top"/>
      <protection/>
    </xf>
    <xf numFmtId="0" fontId="17" fillId="35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1" fillId="34" borderId="0" xfId="0" applyNumberFormat="1" applyFont="1" applyFill="1" applyBorder="1" applyAlignment="1" applyProtection="1">
      <alignment vertical="top"/>
      <protection/>
    </xf>
    <xf numFmtId="0" fontId="87" fillId="35" borderId="0" xfId="0" applyNumberFormat="1" applyFont="1" applyFill="1" applyBorder="1" applyAlignment="1" applyProtection="1">
      <alignment vertical="top"/>
      <protection/>
    </xf>
    <xf numFmtId="0" fontId="88" fillId="35" borderId="0" xfId="0" applyNumberFormat="1" applyFont="1" applyFill="1" applyBorder="1" applyAlignment="1" applyProtection="1">
      <alignment vertical="top"/>
      <protection/>
    </xf>
    <xf numFmtId="0" fontId="20" fillId="35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1" fillId="36" borderId="11" xfId="0" applyNumberFormat="1" applyFont="1" applyFill="1" applyBorder="1" applyAlignment="1" applyProtection="1">
      <alignment horizontal="right" vertical="center"/>
      <protection/>
    </xf>
    <xf numFmtId="0" fontId="89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vertical="center" wrapText="1"/>
      <protection/>
    </xf>
    <xf numFmtId="0" fontId="90" fillId="0" borderId="10" xfId="0" applyNumberFormat="1" applyFont="1" applyFill="1" applyBorder="1" applyAlignment="1" applyProtection="1">
      <alignment horizontal="center" vertical="center" wrapText="1"/>
      <protection/>
    </xf>
    <xf numFmtId="0" fontId="90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89" fillId="37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2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horizontal="justify" vertical="center" wrapText="1"/>
      <protection/>
    </xf>
    <xf numFmtId="0" fontId="89" fillId="0" borderId="0" xfId="0" applyNumberFormat="1" applyFont="1" applyFill="1" applyBorder="1" applyAlignment="1" applyProtection="1">
      <alignment horizontal="right" vertical="center" wrapText="1"/>
      <protection/>
    </xf>
    <xf numFmtId="3" fontId="89" fillId="0" borderId="10" xfId="0" applyNumberFormat="1" applyFont="1" applyFill="1" applyBorder="1" applyAlignment="1" applyProtection="1">
      <alignment horizontal="right" vertical="center" wrapText="1"/>
      <protection/>
    </xf>
    <xf numFmtId="3" fontId="89" fillId="37" borderId="10" xfId="0" applyNumberFormat="1" applyFont="1" applyFill="1" applyBorder="1" applyAlignment="1" applyProtection="1">
      <alignment horizontal="right" vertical="center" wrapText="1"/>
      <protection/>
    </xf>
    <xf numFmtId="177" fontId="89" fillId="37" borderId="10" xfId="0" applyNumberFormat="1" applyFont="1" applyFill="1" applyBorder="1" applyAlignment="1" applyProtection="1">
      <alignment horizontal="right" vertical="center" wrapText="1"/>
      <protection/>
    </xf>
    <xf numFmtId="43" fontId="11" fillId="0" borderId="0" xfId="0" applyNumberFormat="1" applyFont="1" applyFill="1" applyBorder="1" applyAlignment="1" applyProtection="1">
      <alignment vertical="top"/>
      <protection/>
    </xf>
    <xf numFmtId="172" fontId="89" fillId="0" borderId="0" xfId="0" applyNumberFormat="1" applyFont="1" applyFill="1" applyBorder="1" applyAlignment="1" applyProtection="1">
      <alignment horizontal="center" vertical="center" wrapText="1"/>
      <protection/>
    </xf>
    <xf numFmtId="0" fontId="90" fillId="0" borderId="10" xfId="0" applyNumberFormat="1" applyFont="1" applyFill="1" applyBorder="1" applyAlignment="1" applyProtection="1">
      <alignment horizontal="right" vertical="center" wrapText="1"/>
      <protection/>
    </xf>
    <xf numFmtId="0" fontId="90" fillId="0" borderId="10" xfId="0" applyNumberFormat="1" applyFont="1" applyFill="1" applyBorder="1" applyAlignment="1" applyProtection="1">
      <alignment horizontal="left" vertical="center" wrapText="1"/>
      <protection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37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37" borderId="10" xfId="0" applyNumberFormat="1" applyFont="1" applyFill="1" applyBorder="1" applyAlignment="1" applyProtection="1">
      <alignment horizontal="right" vertical="center" wrapText="1"/>
      <protection/>
    </xf>
    <xf numFmtId="3" fontId="9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89" fillId="0" borderId="10" xfId="0" applyNumberFormat="1" applyFont="1" applyFill="1" applyBorder="1" applyAlignment="1" applyProtection="1">
      <alignment vertical="top"/>
      <protection/>
    </xf>
    <xf numFmtId="0" fontId="91" fillId="0" borderId="10" xfId="0" applyNumberFormat="1" applyFont="1" applyFill="1" applyBorder="1" applyAlignment="1" applyProtection="1">
      <alignment vertical="center" wrapText="1"/>
      <protection/>
    </xf>
    <xf numFmtId="3" fontId="91" fillId="0" borderId="1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1" fontId="5" fillId="0" borderId="0" xfId="56" applyNumberFormat="1" applyFont="1">
      <alignment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2" fillId="33" borderId="0" xfId="0" applyNumberFormat="1" applyFont="1" applyFill="1" applyBorder="1" applyAlignment="1" applyProtection="1">
      <alignment vertical="top"/>
      <protection/>
    </xf>
    <xf numFmtId="0" fontId="86" fillId="34" borderId="13" xfId="0" applyNumberFormat="1" applyFont="1" applyFill="1" applyBorder="1" applyAlignment="1" applyProtection="1">
      <alignment vertical="top"/>
      <protection/>
    </xf>
    <xf numFmtId="0" fontId="86" fillId="34" borderId="14" xfId="0" applyNumberFormat="1" applyFont="1" applyFill="1" applyBorder="1" applyAlignment="1" applyProtection="1">
      <alignment vertical="top"/>
      <protection/>
    </xf>
    <xf numFmtId="0" fontId="11" fillId="34" borderId="15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0" fontId="11" fillId="0" borderId="17" xfId="0" applyNumberFormat="1" applyFont="1" applyFill="1" applyBorder="1" applyAlignment="1" applyProtection="1">
      <alignment vertical="top"/>
      <protection/>
    </xf>
    <xf numFmtId="0" fontId="17" fillId="0" borderId="16" xfId="0" applyNumberFormat="1" applyFont="1" applyFill="1" applyBorder="1" applyAlignment="1" applyProtection="1">
      <alignment vertical="top"/>
      <protection/>
    </xf>
    <xf numFmtId="0" fontId="17" fillId="0" borderId="17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vertical="top"/>
      <protection/>
    </xf>
    <xf numFmtId="0" fontId="11" fillId="0" borderId="20" xfId="0" applyNumberFormat="1" applyFont="1" applyFill="1" applyBorder="1" applyAlignment="1" applyProtection="1">
      <alignment vertical="top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0" fontId="93" fillId="0" borderId="0" xfId="0" applyNumberFormat="1" applyFont="1" applyFill="1" applyBorder="1" applyAlignment="1" applyProtection="1">
      <alignment vertical="top"/>
      <protection/>
    </xf>
    <xf numFmtId="0" fontId="94" fillId="38" borderId="0" xfId="0" applyNumberFormat="1" applyFont="1" applyFill="1" applyBorder="1" applyAlignment="1" applyProtection="1">
      <alignment vertical="top"/>
      <protection/>
    </xf>
    <xf numFmtId="0" fontId="23" fillId="38" borderId="0" xfId="0" applyNumberFormat="1" applyFont="1" applyFill="1" applyBorder="1" applyAlignment="1" applyProtection="1">
      <alignment vertical="top"/>
      <protection/>
    </xf>
    <xf numFmtId="0" fontId="87" fillId="39" borderId="0" xfId="0" applyNumberFormat="1" applyFont="1" applyFill="1" applyBorder="1" applyAlignment="1" applyProtection="1">
      <alignment vertical="top"/>
      <protection/>
    </xf>
    <xf numFmtId="0" fontId="95" fillId="39" borderId="0" xfId="0" applyFont="1" applyFill="1" applyAlignment="1">
      <alignment/>
    </xf>
    <xf numFmtId="0" fontId="95" fillId="39" borderId="0" xfId="0" applyFont="1" applyFill="1" applyAlignment="1">
      <alignment horizontal="right"/>
    </xf>
    <xf numFmtId="0" fontId="96" fillId="39" borderId="0" xfId="0" applyFont="1" applyFill="1" applyAlignment="1">
      <alignment/>
    </xf>
    <xf numFmtId="0" fontId="86" fillId="0" borderId="13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Border="1" applyAlignment="1">
      <alignment horizontal="center" vertical="top"/>
    </xf>
    <xf numFmtId="0" fontId="97" fillId="0" borderId="10" xfId="0" applyFont="1" applyBorder="1" applyAlignment="1">
      <alignment horizontal="center" vertical="top"/>
    </xf>
    <xf numFmtId="9" fontId="97" fillId="0" borderId="10" xfId="0" applyNumberFormat="1" applyFont="1" applyBorder="1" applyAlignment="1">
      <alignment horizontal="center" vertical="top"/>
    </xf>
    <xf numFmtId="0" fontId="98" fillId="0" borderId="0" xfId="0" applyFont="1" applyAlignment="1">
      <alignment vertical="top"/>
    </xf>
    <xf numFmtId="0" fontId="1" fillId="0" borderId="21" xfId="0" applyFont="1" applyBorder="1" applyAlignment="1">
      <alignment horizontal="center" vertical="top"/>
    </xf>
    <xf numFmtId="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right" vertical="top" wrapText="1"/>
    </xf>
    <xf numFmtId="1" fontId="11" fillId="37" borderId="10" xfId="0" applyNumberFormat="1" applyFont="1" applyFill="1" applyBorder="1" applyAlignment="1" applyProtection="1">
      <alignment vertical="top"/>
      <protection/>
    </xf>
    <xf numFmtId="0" fontId="89" fillId="0" borderId="12" xfId="0" applyNumberFormat="1" applyFont="1" applyFill="1" applyBorder="1" applyAlignment="1" applyProtection="1">
      <alignment vertical="top"/>
      <protection/>
    </xf>
    <xf numFmtId="0" fontId="11" fillId="0" borderId="12" xfId="0" applyNumberFormat="1" applyFont="1" applyFill="1" applyBorder="1" applyAlignment="1" applyProtection="1">
      <alignment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1" fontId="1" fillId="37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" fontId="1" fillId="40" borderId="10" xfId="0" applyNumberFormat="1" applyFont="1" applyFill="1" applyBorder="1" applyAlignment="1" applyProtection="1">
      <alignment horizontal="center" vertical="top"/>
      <protection/>
    </xf>
    <xf numFmtId="3" fontId="1" fillId="37" borderId="10" xfId="0" applyNumberFormat="1" applyFont="1" applyFill="1" applyBorder="1" applyAlignment="1" applyProtection="1">
      <alignment vertical="top"/>
      <protection/>
    </xf>
    <xf numFmtId="0" fontId="1" fillId="37" borderId="1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Border="1" applyAlignment="1">
      <alignment vertical="top"/>
    </xf>
    <xf numFmtId="176" fontId="1" fillId="0" borderId="0" xfId="0" applyNumberFormat="1" applyFont="1" applyBorder="1" applyAlignment="1">
      <alignment vertical="top"/>
    </xf>
    <xf numFmtId="0" fontId="99" fillId="34" borderId="10" xfId="0" applyFont="1" applyFill="1" applyBorder="1" applyAlignment="1">
      <alignment vertical="top" wrapText="1"/>
    </xf>
    <xf numFmtId="173" fontId="99" fillId="34" borderId="10" xfId="0" applyNumberFormat="1" applyFont="1" applyFill="1" applyBorder="1" applyAlignment="1">
      <alignment vertical="top" wrapText="1"/>
    </xf>
    <xf numFmtId="0" fontId="24" fillId="41" borderId="0" xfId="0" applyFont="1" applyFill="1" applyAlignment="1">
      <alignment vertical="top" wrapText="1"/>
    </xf>
    <xf numFmtId="3" fontId="96" fillId="34" borderId="10" xfId="56" applyNumberFormat="1" applyFont="1" applyFill="1" applyBorder="1" applyAlignment="1">
      <alignment vertical="top"/>
      <protection/>
    </xf>
    <xf numFmtId="3" fontId="8" fillId="0" borderId="22" xfId="56" applyNumberFormat="1" applyFont="1" applyFill="1" applyBorder="1" applyAlignment="1">
      <alignment vertical="top" wrapText="1"/>
      <protection/>
    </xf>
    <xf numFmtId="0" fontId="10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0" fontId="101" fillId="0" borderId="0" xfId="0" applyNumberFormat="1" applyFont="1" applyFill="1" applyBorder="1" applyAlignment="1" applyProtection="1">
      <alignment vertical="top"/>
      <protection/>
    </xf>
    <xf numFmtId="2" fontId="101" fillId="0" borderId="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3" fontId="1" fillId="37" borderId="10" xfId="0" applyNumberFormat="1" applyFont="1" applyFill="1" applyBorder="1" applyAlignment="1" applyProtection="1">
      <alignment vertical="top" wrapText="1"/>
      <protection/>
    </xf>
    <xf numFmtId="1" fontId="1" fillId="37" borderId="10" xfId="0" applyNumberFormat="1" applyFont="1" applyFill="1" applyBorder="1" applyAlignment="1" applyProtection="1">
      <alignment vertical="top" wrapText="1"/>
      <protection/>
    </xf>
    <xf numFmtId="3" fontId="1" fillId="37" borderId="10" xfId="0" applyNumberFormat="1" applyFont="1" applyFill="1" applyBorder="1" applyAlignment="1" applyProtection="1">
      <alignment vertical="center" wrapText="1"/>
      <protection/>
    </xf>
    <xf numFmtId="172" fontId="1" fillId="37" borderId="10" xfId="0" applyNumberFormat="1" applyFont="1" applyFill="1" applyBorder="1" applyAlignment="1" applyProtection="1">
      <alignment vertical="center" wrapText="1"/>
      <protection/>
    </xf>
    <xf numFmtId="9" fontId="1" fillId="37" borderId="10" xfId="0" applyNumberFormat="1" applyFont="1" applyFill="1" applyBorder="1" applyAlignment="1" applyProtection="1">
      <alignment vertical="center" wrapText="1"/>
      <protection/>
    </xf>
    <xf numFmtId="2" fontId="1" fillId="37" borderId="10" xfId="0" applyNumberFormat="1" applyFont="1" applyFill="1" applyBorder="1" applyAlignment="1" applyProtection="1">
      <alignment vertical="top"/>
      <protection/>
    </xf>
    <xf numFmtId="0" fontId="11" fillId="37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2" fontId="11" fillId="37" borderId="10" xfId="0" applyNumberFormat="1" applyFont="1" applyFill="1" applyBorder="1" applyAlignment="1" applyProtection="1">
      <alignment horizontal="center" vertical="top"/>
      <protection/>
    </xf>
    <xf numFmtId="3" fontId="102" fillId="0" borderId="0" xfId="56" applyNumberFormat="1" applyFont="1" applyAlignment="1">
      <alignment wrapText="1"/>
      <protection/>
    </xf>
    <xf numFmtId="3" fontId="103" fillId="0" borderId="10" xfId="56" applyNumberFormat="1" applyFont="1" applyBorder="1" applyAlignment="1">
      <alignment wrapText="1"/>
      <protection/>
    </xf>
    <xf numFmtId="3" fontId="104" fillId="0" borderId="0" xfId="56" applyNumberFormat="1" applyFont="1" applyAlignment="1">
      <alignment horizontal="center"/>
      <protection/>
    </xf>
    <xf numFmtId="0" fontId="97" fillId="0" borderId="0" xfId="0" applyFont="1" applyFill="1" applyAlignment="1">
      <alignment vertical="top"/>
    </xf>
    <xf numFmtId="0" fontId="98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05" fillId="0" borderId="0" xfId="0" applyNumberFormat="1" applyFont="1" applyFill="1" applyBorder="1" applyAlignment="1" applyProtection="1">
      <alignment vertical="top"/>
      <protection/>
    </xf>
    <xf numFmtId="0" fontId="97" fillId="0" borderId="0" xfId="0" applyFont="1" applyFill="1" applyAlignment="1">
      <alignment/>
    </xf>
    <xf numFmtId="3" fontId="97" fillId="0" borderId="0" xfId="0" applyNumberFormat="1" applyFont="1" applyFill="1" applyAlignment="1">
      <alignment vertical="top" wrapText="1"/>
    </xf>
    <xf numFmtId="3" fontId="97" fillId="0" borderId="0" xfId="0" applyNumberFormat="1" applyFont="1" applyFill="1" applyAlignment="1">
      <alignment vertical="top"/>
    </xf>
    <xf numFmtId="0" fontId="97" fillId="0" borderId="0" xfId="0" applyFont="1" applyFill="1" applyAlignment="1">
      <alignment vertical="top" wrapText="1"/>
    </xf>
    <xf numFmtId="0" fontId="106" fillId="0" borderId="0" xfId="0" applyFont="1" applyFill="1" applyAlignment="1">
      <alignment vertical="top" wrapText="1"/>
    </xf>
    <xf numFmtId="3" fontId="106" fillId="0" borderId="0" xfId="0" applyNumberFormat="1" applyFont="1" applyFill="1" applyAlignment="1">
      <alignment vertical="top" wrapText="1"/>
    </xf>
    <xf numFmtId="3" fontId="106" fillId="0" borderId="0" xfId="0" applyNumberFormat="1" applyFont="1" applyFill="1" applyAlignment="1">
      <alignment vertical="top"/>
    </xf>
    <xf numFmtId="3" fontId="97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3" fontId="90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90" fillId="0" borderId="10" xfId="0" applyNumberFormat="1" applyFont="1" applyFill="1" applyBorder="1" applyAlignment="1" applyProtection="1">
      <alignment horizontal="right" vertical="center" wrapText="1"/>
      <protection/>
    </xf>
    <xf numFmtId="0" fontId="90" fillId="0" borderId="10" xfId="0" applyNumberFormat="1" applyFont="1" applyFill="1" applyBorder="1" applyAlignment="1" applyProtection="1">
      <alignment horizontal="center" vertical="center" wrapText="1"/>
      <protection/>
    </xf>
    <xf numFmtId="3" fontId="90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0" xfId="0" applyNumberFormat="1" applyFont="1" applyFill="1" applyBorder="1" applyAlignment="1" applyProtection="1">
      <alignment vertical="top"/>
      <protection/>
    </xf>
    <xf numFmtId="3" fontId="97" fillId="37" borderId="10" xfId="0" applyNumberFormat="1" applyFont="1" applyFill="1" applyBorder="1" applyAlignment="1" applyProtection="1">
      <alignment vertical="center" wrapText="1"/>
      <protection/>
    </xf>
    <xf numFmtId="3" fontId="90" fillId="0" borderId="10" xfId="0" applyNumberFormat="1" applyFont="1" applyFill="1" applyBorder="1" applyAlignment="1" applyProtection="1">
      <alignment horizontal="center" vertical="center" wrapText="1"/>
      <protection/>
    </xf>
    <xf numFmtId="180" fontId="90" fillId="0" borderId="10" xfId="0" applyNumberFormat="1" applyFont="1" applyFill="1" applyBorder="1" applyAlignment="1" applyProtection="1">
      <alignment horizontal="right" vertical="center" wrapText="1"/>
      <protection/>
    </xf>
    <xf numFmtId="2" fontId="90" fillId="0" borderId="10" xfId="0" applyNumberFormat="1" applyFont="1" applyFill="1" applyBorder="1" applyAlignment="1" applyProtection="1">
      <alignment horizontal="right" vertical="center" wrapText="1"/>
      <protection/>
    </xf>
    <xf numFmtId="3" fontId="90" fillId="37" borderId="10" xfId="0" applyNumberFormat="1" applyFont="1" applyFill="1" applyBorder="1" applyAlignment="1" applyProtection="1">
      <alignment horizontal="right" vertical="center" wrapText="1"/>
      <protection/>
    </xf>
    <xf numFmtId="1" fontId="90" fillId="37" borderId="10" xfId="0" applyNumberFormat="1" applyFont="1" applyFill="1" applyBorder="1" applyAlignment="1" applyProtection="1">
      <alignment horizontal="right" vertical="center" wrapText="1"/>
      <protection/>
    </xf>
    <xf numFmtId="4" fontId="1" fillId="37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35" borderId="0" xfId="0" applyNumberFormat="1" applyFont="1" applyFill="1" applyBorder="1" applyAlignment="1" applyProtection="1">
      <alignment horizontal="center" vertical="top"/>
      <protection/>
    </xf>
    <xf numFmtId="0" fontId="25" fillId="35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" fillId="34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96" fillId="34" borderId="0" xfId="0" applyNumberFormat="1" applyFont="1" applyFill="1" applyBorder="1" applyAlignment="1" applyProtection="1">
      <alignment horizontal="center" vertical="top"/>
      <protection/>
    </xf>
    <xf numFmtId="0" fontId="96" fillId="33" borderId="0" xfId="0" applyNumberFormat="1" applyFont="1" applyFill="1" applyBorder="1" applyAlignment="1" applyProtection="1">
      <alignment horizontal="center" vertical="top"/>
      <protection/>
    </xf>
    <xf numFmtId="0" fontId="107" fillId="0" borderId="0" xfId="0" applyNumberFormat="1" applyFont="1" applyFill="1" applyBorder="1" applyAlignment="1" applyProtection="1">
      <alignment horizontal="center" vertical="top"/>
      <protection/>
    </xf>
    <xf numFmtId="0" fontId="1" fillId="37" borderId="25" xfId="0" applyNumberFormat="1" applyFont="1" applyFill="1" applyBorder="1" applyAlignment="1" applyProtection="1">
      <alignment vertical="center" wrapText="1"/>
      <protection/>
    </xf>
    <xf numFmtId="0" fontId="1" fillId="37" borderId="11" xfId="0" applyNumberFormat="1" applyFont="1" applyFill="1" applyBorder="1" applyAlignment="1" applyProtection="1">
      <alignment horizontal="right" vertical="center" wrapText="1"/>
      <protection/>
    </xf>
    <xf numFmtId="207" fontId="8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90" fillId="0" borderId="10" xfId="0" applyNumberFormat="1" applyFont="1" applyFill="1" applyBorder="1" applyAlignment="1" applyProtection="1">
      <alignment horizontal="right" vertical="center" wrapText="1"/>
      <protection/>
    </xf>
    <xf numFmtId="1" fontId="1" fillId="37" borderId="10" xfId="0" applyNumberFormat="1" applyFont="1" applyFill="1" applyBorder="1" applyAlignment="1" applyProtection="1">
      <alignment horizontal="right" vertical="center" wrapText="1"/>
      <protection/>
    </xf>
    <xf numFmtId="1" fontId="1" fillId="37" borderId="10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0" fontId="1" fillId="37" borderId="10" xfId="0" applyNumberFormat="1" applyFont="1" applyFill="1" applyBorder="1" applyAlignment="1" applyProtection="1">
      <alignment horizontal="right" vertical="top" wrapText="1"/>
      <protection/>
    </xf>
    <xf numFmtId="3" fontId="1" fillId="37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 wrapText="1"/>
      <protection/>
    </xf>
    <xf numFmtId="0" fontId="89" fillId="0" borderId="10" xfId="0" applyNumberFormat="1" applyFont="1" applyFill="1" applyBorder="1" applyAlignment="1" applyProtection="1">
      <alignment horizontal="right" vertical="top" wrapText="1"/>
      <protection/>
    </xf>
    <xf numFmtId="182" fontId="89" fillId="37" borderId="10" xfId="65" applyNumberFormat="1" applyFont="1" applyFill="1" applyBorder="1" applyAlignment="1" applyProtection="1">
      <alignment horizontal="right" vertical="top" wrapText="1"/>
      <protection/>
    </xf>
    <xf numFmtId="0" fontId="89" fillId="37" borderId="10" xfId="0" applyNumberFormat="1" applyFont="1" applyFill="1" applyBorder="1" applyAlignment="1" applyProtection="1">
      <alignment horizontal="right" vertical="top" wrapText="1"/>
      <protection/>
    </xf>
    <xf numFmtId="1" fontId="89" fillId="37" borderId="10" xfId="0" applyNumberFormat="1" applyFont="1" applyFill="1" applyBorder="1" applyAlignment="1" applyProtection="1">
      <alignment horizontal="right" vertical="top" wrapText="1"/>
      <protection/>
    </xf>
    <xf numFmtId="0" fontId="89" fillId="0" borderId="10" xfId="0" applyNumberFormat="1" applyFont="1" applyFill="1" applyBorder="1" applyAlignment="1" applyProtection="1">
      <alignment horizontal="right" wrapText="1"/>
      <protection/>
    </xf>
    <xf numFmtId="2" fontId="89" fillId="37" borderId="10" xfId="0" applyNumberFormat="1" applyFont="1" applyFill="1" applyBorder="1" applyAlignment="1" applyProtection="1">
      <alignment horizontal="right" wrapText="1"/>
      <protection/>
    </xf>
    <xf numFmtId="3" fontId="89" fillId="37" borderId="10" xfId="0" applyNumberFormat="1" applyFont="1" applyFill="1" applyBorder="1" applyAlignment="1" applyProtection="1">
      <alignment horizontal="right" wrapText="1"/>
      <protection/>
    </xf>
    <xf numFmtId="1" fontId="89" fillId="37" borderId="10" xfId="0" applyNumberFormat="1" applyFont="1" applyFill="1" applyBorder="1" applyAlignment="1" applyProtection="1">
      <alignment horizontal="right" wrapText="1"/>
      <protection/>
    </xf>
    <xf numFmtId="0" fontId="97" fillId="0" borderId="11" xfId="0" applyNumberFormat="1" applyFont="1" applyFill="1" applyBorder="1" applyAlignment="1" applyProtection="1">
      <alignment horizontal="right" vertical="top" wrapText="1"/>
      <protection/>
    </xf>
    <xf numFmtId="0" fontId="1" fillId="37" borderId="11" xfId="0" applyNumberFormat="1" applyFont="1" applyFill="1" applyBorder="1" applyAlignment="1" applyProtection="1">
      <alignment horizontal="right" vertical="top" wrapText="1"/>
      <protection/>
    </xf>
    <xf numFmtId="4" fontId="97" fillId="0" borderId="10" xfId="0" applyNumberFormat="1" applyFont="1" applyFill="1" applyBorder="1" applyAlignment="1" applyProtection="1">
      <alignment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 horizontal="center" vertical="top"/>
      <protection/>
    </xf>
    <xf numFmtId="0" fontId="89" fillId="0" borderId="10" xfId="0" applyNumberFormat="1" applyFont="1" applyFill="1" applyBorder="1" applyAlignment="1" applyProtection="1">
      <alignment vertical="center" wrapText="1"/>
      <protection/>
    </xf>
    <xf numFmtId="0" fontId="89" fillId="0" borderId="10" xfId="0" applyNumberFormat="1" applyFont="1" applyFill="1" applyBorder="1" applyAlignment="1" applyProtection="1">
      <alignment horizontal="right"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top"/>
      <protection/>
    </xf>
    <xf numFmtId="0" fontId="89" fillId="0" borderId="12" xfId="0" applyNumberFormat="1" applyFont="1" applyFill="1" applyBorder="1" applyAlignment="1" applyProtection="1">
      <alignment horizontal="center" vertical="top"/>
      <protection/>
    </xf>
    <xf numFmtId="0" fontId="89" fillId="0" borderId="26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8" xfId="0" applyNumberFormat="1" applyFont="1" applyFill="1" applyBorder="1" applyAlignment="1" applyProtection="1">
      <alignment horizontal="center" vertical="top"/>
      <protection/>
    </xf>
    <xf numFmtId="0" fontId="89" fillId="0" borderId="12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89" fillId="0" borderId="27" xfId="0" applyNumberFormat="1" applyFont="1" applyFill="1" applyBorder="1" applyAlignment="1" applyProtection="1">
      <alignment horizontal="right" vertical="center" wrapText="1"/>
      <protection/>
    </xf>
    <xf numFmtId="0" fontId="89" fillId="0" borderId="21" xfId="0" applyNumberFormat="1" applyFont="1" applyFill="1" applyBorder="1" applyAlignment="1" applyProtection="1">
      <alignment horizontal="right" vertical="center" wrapText="1"/>
      <protection/>
    </xf>
    <xf numFmtId="0" fontId="89" fillId="0" borderId="28" xfId="0" applyNumberFormat="1" applyFont="1" applyFill="1" applyBorder="1" applyAlignment="1" applyProtection="1">
      <alignment horizontal="right" vertical="center" wrapText="1"/>
      <protection/>
    </xf>
    <xf numFmtId="3" fontId="90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1" fontId="1" fillId="0" borderId="28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3" fontId="1" fillId="0" borderId="10" xfId="56" applyNumberFormat="1" applyFont="1" applyBorder="1" applyAlignment="1">
      <alignment horizontal="center" vertical="center" wrapText="1"/>
      <protection/>
    </xf>
    <xf numFmtId="1" fontId="1" fillId="0" borderId="10" xfId="56" applyNumberFormat="1" applyFont="1" applyBorder="1" applyAlignment="1">
      <alignment horizontal="center"/>
      <protection/>
    </xf>
    <xf numFmtId="3" fontId="1" fillId="0" borderId="10" xfId="56" applyNumberFormat="1" applyFont="1" applyBorder="1" applyAlignment="1">
      <alignment horizontal="center" vertical="center"/>
      <protection/>
    </xf>
    <xf numFmtId="3" fontId="1" fillId="0" borderId="10" xfId="56" applyNumberFormat="1" applyFont="1" applyBorder="1" applyAlignment="1">
      <alignment horizontal="center"/>
      <protection/>
    </xf>
    <xf numFmtId="1" fontId="1" fillId="0" borderId="10" xfId="0" applyNumberFormat="1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npu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Расчёты Бизнес план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</xdr:row>
      <xdr:rowOff>95250</xdr:rowOff>
    </xdr:from>
    <xdr:to>
      <xdr:col>4</xdr:col>
      <xdr:colOff>600075</xdr:colOff>
      <xdr:row>9</xdr:row>
      <xdr:rowOff>104775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4324350" y="1724025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57150</xdr:rowOff>
    </xdr:from>
    <xdr:to>
      <xdr:col>7</xdr:col>
      <xdr:colOff>457200</xdr:colOff>
      <xdr:row>13</xdr:row>
      <xdr:rowOff>133350</xdr:rowOff>
    </xdr:to>
    <xdr:sp>
      <xdr:nvSpPr>
        <xdr:cNvPr id="2" name="Прямая со стрелкой 8"/>
        <xdr:cNvSpPr>
          <a:spLocks/>
        </xdr:cNvSpPr>
      </xdr:nvSpPr>
      <xdr:spPr>
        <a:xfrm flipV="1">
          <a:off x="6438900" y="2333625"/>
          <a:ext cx="2667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1;&#1048;&#1047;&#1053;&#1045;&#1057;-&#1055;&#1051;&#1040;&#1053;\&#1041;&#1080;&#1079;&#1085;&#1077;&#1089;-&#1087;&#1083;&#1072;&#1085;%20&#1052;&#1057;&#1055;\&#1041;&#1055;%20&#1082;&#1086;&#1090;&#1077;&#1083;&#1100;&#1085;&#1086;&#1081;\2019\&#1058;&#1077;&#1087;&#1083;&#1086;_&#1079;&#1072;&#1087;&#1088;&#1086;&#1089;%20&#1076;&#1072;&#1085;&#1085;&#1099;&#1093;%20&#1076;&#1083;&#1103;%20&#1084;&#1086;&#1076;&#1077;&#1083;&#1080;%20&#1091;%20&#1082;&#1083;&#1080;&#1077;&#1085;&#1090;&#1072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Input"/>
      <sheetName val="Controls"/>
    </sheetNames>
    <sheetDataSet>
      <sheetData sheetId="1">
        <row r="41">
          <cell r="D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36"/>
  <sheetViews>
    <sheetView tabSelected="1" zoomScale="70" zoomScaleNormal="70" zoomScalePageLayoutView="0" workbookViewId="0" topLeftCell="A220">
      <selection activeCell="I251" sqref="I251"/>
    </sheetView>
  </sheetViews>
  <sheetFormatPr defaultColWidth="9.140625" defaultRowHeight="12.75" outlineLevelRow="1"/>
  <cols>
    <col min="1" max="1" width="4.421875" style="129" customWidth="1"/>
    <col min="2" max="2" width="29.8515625" style="45" customWidth="1"/>
    <col min="3" max="3" width="12.421875" style="45" customWidth="1"/>
    <col min="4" max="4" width="13.140625" style="45" customWidth="1"/>
    <col min="5" max="5" width="14.00390625" style="45" customWidth="1"/>
    <col min="6" max="6" width="9.57421875" style="45" customWidth="1"/>
    <col min="7" max="7" width="10.28125" style="45" customWidth="1"/>
    <col min="8" max="8" width="8.00390625" style="45" customWidth="1"/>
    <col min="9" max="9" width="12.00390625" style="45" customWidth="1"/>
    <col min="10" max="16384" width="9.140625" style="45" customWidth="1"/>
  </cols>
  <sheetData>
    <row r="1" spans="1:3" s="102" customFormat="1" ht="18.75">
      <c r="A1" s="210"/>
      <c r="B1" s="103" t="s">
        <v>165</v>
      </c>
      <c r="C1" s="102" t="s">
        <v>349</v>
      </c>
    </row>
    <row r="2" ht="12.75"/>
    <row r="3" spans="1:86" s="49" customFormat="1" ht="12.75">
      <c r="A3" s="211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1:86" s="49" customFormat="1" ht="20.25">
      <c r="A4" s="211"/>
      <c r="B4" s="54" t="s">
        <v>53</v>
      </c>
      <c r="C4" s="54"/>
      <c r="D4" s="55"/>
      <c r="E4" s="55"/>
      <c r="F4" s="55"/>
      <c r="G4" s="56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s="50" customFormat="1" ht="12.75">
      <c r="A5" s="212"/>
      <c r="B5" s="51" t="s">
        <v>298</v>
      </c>
      <c r="C5" s="51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</row>
    <row r="6" spans="1:86" s="50" customFormat="1" ht="12.75">
      <c r="A6" s="212"/>
      <c r="B6" s="51" t="s">
        <v>299</v>
      </c>
      <c r="C6" s="51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</row>
    <row r="7" ht="12.75"/>
    <row r="8" spans="2:8" ht="12.75">
      <c r="B8" s="104" t="s">
        <v>54</v>
      </c>
      <c r="C8" s="105"/>
      <c r="D8" s="105"/>
      <c r="E8" s="105"/>
      <c r="F8" s="105"/>
      <c r="G8" s="105"/>
      <c r="H8" s="106"/>
    </row>
    <row r="9" spans="2:8" ht="12.75">
      <c r="B9" s="107"/>
      <c r="H9" s="108"/>
    </row>
    <row r="10" spans="2:8" ht="12.75">
      <c r="B10" s="107" t="s">
        <v>74</v>
      </c>
      <c r="F10" s="202"/>
      <c r="H10" s="108"/>
    </row>
    <row r="11" spans="1:8" s="52" customFormat="1" ht="12.75">
      <c r="A11" s="213"/>
      <c r="B11" s="109" t="s">
        <v>76</v>
      </c>
      <c r="H11" s="110"/>
    </row>
    <row r="12" spans="2:8" ht="12.75">
      <c r="B12" s="107"/>
      <c r="H12" s="108"/>
    </row>
    <row r="13" spans="2:8" ht="12.75">
      <c r="B13" s="107" t="s">
        <v>55</v>
      </c>
      <c r="H13" s="108"/>
    </row>
    <row r="14" spans="2:8" ht="12.75">
      <c r="B14" s="109" t="s">
        <v>56</v>
      </c>
      <c r="C14" s="52"/>
      <c r="H14" s="108"/>
    </row>
    <row r="15" spans="2:8" ht="12.75">
      <c r="B15" s="109"/>
      <c r="C15" s="52"/>
      <c r="H15" s="108"/>
    </row>
    <row r="16" spans="2:8" ht="12.75">
      <c r="B16" s="107" t="s">
        <v>164</v>
      </c>
      <c r="H16" s="108"/>
    </row>
    <row r="17" spans="2:8" ht="12.75">
      <c r="B17" s="111" t="s">
        <v>347</v>
      </c>
      <c r="C17" s="112"/>
      <c r="D17" s="112"/>
      <c r="E17" s="112"/>
      <c r="F17" s="112"/>
      <c r="G17" s="112"/>
      <c r="H17" s="113"/>
    </row>
    <row r="18" ht="12.75">
      <c r="B18" s="52"/>
    </row>
    <row r="19" spans="1:86" s="53" customFormat="1" ht="12.75">
      <c r="A19" s="214"/>
      <c r="B19" s="47" t="s">
        <v>60</v>
      </c>
      <c r="C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</row>
    <row r="20" ht="12.75"/>
    <row r="21" spans="2:4" ht="12.75">
      <c r="B21" s="45" t="s">
        <v>62</v>
      </c>
      <c r="C21" s="57"/>
      <c r="D21" s="175" t="s">
        <v>63</v>
      </c>
    </row>
    <row r="22" spans="2:4" ht="12.75">
      <c r="B22" s="45" t="s">
        <v>64</v>
      </c>
      <c r="C22" s="57"/>
      <c r="D22" s="175" t="s">
        <v>61</v>
      </c>
    </row>
    <row r="23" spans="2:4" ht="12.75">
      <c r="B23" s="45" t="s">
        <v>65</v>
      </c>
      <c r="C23" s="57"/>
      <c r="D23" s="175">
        <f>5*4</f>
        <v>20</v>
      </c>
    </row>
    <row r="24" spans="2:4" ht="12.75">
      <c r="B24" s="45" t="s">
        <v>214</v>
      </c>
      <c r="C24" s="57"/>
      <c r="D24" s="175" t="s">
        <v>8</v>
      </c>
    </row>
    <row r="25" spans="2:3" ht="12.75">
      <c r="B25" s="48" t="s">
        <v>215</v>
      </c>
      <c r="C25" s="57"/>
    </row>
    <row r="26" spans="2:4" ht="12.75" hidden="1">
      <c r="B26" s="45" t="s">
        <v>226</v>
      </c>
      <c r="C26" s="57"/>
      <c r="D26" s="176">
        <v>1</v>
      </c>
    </row>
    <row r="27" spans="2:3" ht="12.75" hidden="1">
      <c r="B27" s="48" t="s">
        <v>227</v>
      </c>
      <c r="C27" s="57"/>
    </row>
    <row r="28" spans="2:4" ht="12.75" hidden="1">
      <c r="B28" s="45" t="s">
        <v>228</v>
      </c>
      <c r="C28" s="57"/>
      <c r="D28" s="177">
        <f>IF(D26=1,1,1.05)</f>
        <v>1</v>
      </c>
    </row>
    <row r="29" ht="12.75"/>
    <row r="30" spans="1:86" s="53" customFormat="1" ht="12.75">
      <c r="A30" s="214"/>
      <c r="B30" s="47" t="s">
        <v>69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</row>
    <row r="31" ht="12.75">
      <c r="B31" s="52" t="s">
        <v>300</v>
      </c>
    </row>
    <row r="32" ht="12.75">
      <c r="B32" s="52"/>
    </row>
    <row r="33" spans="2:4" ht="12.75">
      <c r="B33" s="45" t="s">
        <v>57</v>
      </c>
      <c r="D33" s="95">
        <v>2019</v>
      </c>
    </row>
    <row r="34" spans="1:2" s="48" customFormat="1" ht="12">
      <c r="A34" s="215"/>
      <c r="B34" s="48" t="s">
        <v>58</v>
      </c>
    </row>
    <row r="35" spans="2:4" ht="12.75">
      <c r="B35" s="45" t="s">
        <v>59</v>
      </c>
      <c r="D35" s="95">
        <v>1</v>
      </c>
    </row>
    <row r="36" spans="1:2" s="58" customFormat="1" ht="12">
      <c r="A36" s="216"/>
      <c r="B36" s="48" t="s">
        <v>67</v>
      </c>
    </row>
    <row r="37" ht="12.75"/>
    <row r="38" spans="2:4" ht="12.75">
      <c r="B38" s="45" t="s">
        <v>66</v>
      </c>
      <c r="D38" s="95">
        <v>2</v>
      </c>
    </row>
    <row r="39" spans="1:2" s="58" customFormat="1" ht="12">
      <c r="A39" s="216"/>
      <c r="B39" s="48" t="s">
        <v>68</v>
      </c>
    </row>
    <row r="40" ht="12.75"/>
    <row r="41" spans="1:86" s="47" customFormat="1" ht="12.75">
      <c r="A41" s="217"/>
      <c r="B41" s="47" t="s">
        <v>70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</row>
    <row r="42" ht="12.75">
      <c r="B42" s="52" t="s">
        <v>75</v>
      </c>
    </row>
    <row r="43" ht="12.75">
      <c r="B43" s="52"/>
    </row>
    <row r="44" spans="1:2" ht="15">
      <c r="A44" s="129" t="s">
        <v>205</v>
      </c>
      <c r="B44" s="64" t="s">
        <v>257</v>
      </c>
    </row>
    <row r="45" spans="2:4" ht="38.25">
      <c r="B45" s="196" t="s">
        <v>71</v>
      </c>
      <c r="C45" s="59" t="s">
        <v>256</v>
      </c>
      <c r="D45" s="59" t="s">
        <v>72</v>
      </c>
    </row>
    <row r="46" spans="2:4" ht="12.75">
      <c r="B46" s="70" t="s">
        <v>251</v>
      </c>
      <c r="C46" s="195">
        <v>10</v>
      </c>
      <c r="D46" s="240">
        <v>1</v>
      </c>
    </row>
    <row r="47" spans="2:4" ht="25.5">
      <c r="B47" s="70" t="s">
        <v>252</v>
      </c>
      <c r="C47" s="195">
        <v>8</v>
      </c>
      <c r="D47" s="240">
        <v>1</v>
      </c>
    </row>
    <row r="48" spans="2:4" ht="12.75">
      <c r="B48" s="70" t="s">
        <v>253</v>
      </c>
      <c r="C48" s="195">
        <v>8</v>
      </c>
      <c r="D48" s="240">
        <v>1</v>
      </c>
    </row>
    <row r="49" spans="2:4" ht="12.75">
      <c r="B49" s="70" t="s">
        <v>254</v>
      </c>
      <c r="C49" s="195">
        <v>8</v>
      </c>
      <c r="D49" s="240">
        <v>1</v>
      </c>
    </row>
    <row r="50" spans="2:4" ht="25.5">
      <c r="B50" s="70" t="s">
        <v>258</v>
      </c>
      <c r="C50" s="195">
        <v>8</v>
      </c>
      <c r="D50" s="240">
        <v>1</v>
      </c>
    </row>
    <row r="51" spans="2:4" ht="25.5">
      <c r="B51" s="70" t="s">
        <v>255</v>
      </c>
      <c r="C51" s="195">
        <v>5</v>
      </c>
      <c r="D51" s="240">
        <v>1</v>
      </c>
    </row>
    <row r="52" spans="2:4" ht="12.75">
      <c r="B52" s="220" t="s">
        <v>73</v>
      </c>
      <c r="C52" s="221" t="s">
        <v>30</v>
      </c>
      <c r="D52" s="241">
        <f>SUM(D46:D51)</f>
        <v>6</v>
      </c>
    </row>
    <row r="53" ht="12.75"/>
    <row r="54" ht="12.75"/>
    <row r="55" spans="1:86" s="46" customFormat="1" ht="12" customHeight="1">
      <c r="A55" s="218"/>
      <c r="B55" s="46" t="s">
        <v>320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</row>
    <row r="56" ht="12.75">
      <c r="B56" s="52" t="s">
        <v>204</v>
      </c>
    </row>
    <row r="57" ht="12.75">
      <c r="B57" s="52"/>
    </row>
    <row r="58" spans="1:2" ht="15">
      <c r="A58" s="129" t="s">
        <v>206</v>
      </c>
      <c r="B58" s="66" t="s">
        <v>321</v>
      </c>
    </row>
    <row r="59" spans="2:3" ht="25.5">
      <c r="B59" s="200" t="s">
        <v>115</v>
      </c>
      <c r="C59" s="200" t="s">
        <v>80</v>
      </c>
    </row>
    <row r="60" spans="2:3" ht="12.75">
      <c r="B60" s="70" t="s">
        <v>322</v>
      </c>
      <c r="C60" s="204">
        <v>1400</v>
      </c>
    </row>
    <row r="61" spans="2:3" ht="25.5">
      <c r="B61" s="70" t="s">
        <v>323</v>
      </c>
      <c r="C61" s="204">
        <v>1900</v>
      </c>
    </row>
    <row r="62" spans="2:3" ht="12.75">
      <c r="B62" s="70" t="s">
        <v>324</v>
      </c>
      <c r="C62" s="200">
        <v>300</v>
      </c>
    </row>
    <row r="63" spans="2:3" ht="12.75">
      <c r="B63" s="70" t="s">
        <v>325</v>
      </c>
      <c r="C63" s="200">
        <v>400</v>
      </c>
    </row>
    <row r="64" spans="2:3" ht="12.75">
      <c r="B64" s="70" t="s">
        <v>326</v>
      </c>
      <c r="C64" s="200">
        <v>220</v>
      </c>
    </row>
    <row r="65" spans="2:3" ht="12.75">
      <c r="B65" s="70" t="s">
        <v>11</v>
      </c>
      <c r="C65" s="201">
        <f>SUM(C60:C64)</f>
        <v>4220</v>
      </c>
    </row>
    <row r="66" ht="12.75">
      <c r="B66" s="52"/>
    </row>
    <row r="67" ht="12.75">
      <c r="B67" s="52"/>
    </row>
    <row r="68" spans="1:2" ht="17.25" customHeight="1">
      <c r="A68" s="129" t="s">
        <v>327</v>
      </c>
      <c r="B68" s="62" t="s">
        <v>328</v>
      </c>
    </row>
    <row r="69" spans="2:5" ht="25.5">
      <c r="B69" s="167" t="s">
        <v>297</v>
      </c>
      <c r="C69" s="167" t="s">
        <v>77</v>
      </c>
      <c r="D69" s="167" t="s">
        <v>265</v>
      </c>
      <c r="E69" s="167" t="s">
        <v>80</v>
      </c>
    </row>
    <row r="70" spans="2:5" ht="12.75">
      <c r="B70" s="268" t="s">
        <v>259</v>
      </c>
      <c r="C70" s="268"/>
      <c r="D70" s="268"/>
      <c r="E70" s="268"/>
    </row>
    <row r="71" spans="2:5" ht="12.75">
      <c r="B71" s="198" t="s">
        <v>260</v>
      </c>
      <c r="C71" s="71">
        <v>327385</v>
      </c>
      <c r="D71" s="197">
        <v>1</v>
      </c>
      <c r="E71" s="91">
        <f>C71*D71/1000</f>
        <v>327.385</v>
      </c>
    </row>
    <row r="72" spans="2:5" ht="12.75">
      <c r="B72" s="198" t="s">
        <v>261</v>
      </c>
      <c r="C72" s="71">
        <v>202108</v>
      </c>
      <c r="D72" s="197">
        <v>1</v>
      </c>
      <c r="E72" s="91">
        <f aca="true" t="shared" si="0" ref="E72:E95">C72*D72/1000</f>
        <v>202.108</v>
      </c>
    </row>
    <row r="73" spans="2:5" ht="18" customHeight="1">
      <c r="B73" s="198" t="s">
        <v>262</v>
      </c>
      <c r="C73" s="71">
        <v>34000</v>
      </c>
      <c r="D73" s="71">
        <v>1</v>
      </c>
      <c r="E73" s="91">
        <f t="shared" si="0"/>
        <v>34</v>
      </c>
    </row>
    <row r="74" spans="2:5" ht="12.75">
      <c r="B74" s="198" t="s">
        <v>263</v>
      </c>
      <c r="C74" s="71">
        <v>8984</v>
      </c>
      <c r="D74" s="71">
        <v>3</v>
      </c>
      <c r="E74" s="91">
        <f t="shared" si="0"/>
        <v>26.952</v>
      </c>
    </row>
    <row r="75" spans="2:5" ht="12.75">
      <c r="B75" s="198" t="s">
        <v>264</v>
      </c>
      <c r="C75" s="71">
        <v>18044</v>
      </c>
      <c r="D75" s="71">
        <v>2</v>
      </c>
      <c r="E75" s="91">
        <f t="shared" si="0"/>
        <v>36.088</v>
      </c>
    </row>
    <row r="76" spans="2:5" ht="25.5">
      <c r="B76" s="198" t="s">
        <v>266</v>
      </c>
      <c r="C76" s="71">
        <v>58422</v>
      </c>
      <c r="D76" s="71">
        <v>1</v>
      </c>
      <c r="E76" s="91">
        <f t="shared" si="0"/>
        <v>58.422</v>
      </c>
    </row>
    <row r="77" spans="2:5" ht="12.75" customHeight="1">
      <c r="B77" s="198" t="s">
        <v>267</v>
      </c>
      <c r="C77" s="71">
        <v>687</v>
      </c>
      <c r="D77" s="71">
        <v>1</v>
      </c>
      <c r="E77" s="91">
        <f t="shared" si="0"/>
        <v>0.687</v>
      </c>
    </row>
    <row r="78" spans="2:5" ht="25.5">
      <c r="B78" s="198" t="s">
        <v>268</v>
      </c>
      <c r="C78" s="71">
        <v>1659</v>
      </c>
      <c r="D78" s="71">
        <v>1</v>
      </c>
      <c r="E78" s="91">
        <f t="shared" si="0"/>
        <v>1.659</v>
      </c>
    </row>
    <row r="79" spans="2:5" ht="12.75">
      <c r="B79" s="198" t="s">
        <v>269</v>
      </c>
      <c r="C79" s="71">
        <v>1831</v>
      </c>
      <c r="D79" s="71">
        <v>1</v>
      </c>
      <c r="E79" s="91">
        <f t="shared" si="0"/>
        <v>1.831</v>
      </c>
    </row>
    <row r="80" spans="2:5" ht="25.5">
      <c r="B80" s="198" t="s">
        <v>270</v>
      </c>
      <c r="C80" s="71">
        <v>1945</v>
      </c>
      <c r="D80" s="71">
        <v>1</v>
      </c>
      <c r="E80" s="91">
        <f t="shared" si="0"/>
        <v>1.945</v>
      </c>
    </row>
    <row r="81" spans="2:5" ht="12.75">
      <c r="B81" s="198" t="s">
        <v>271</v>
      </c>
      <c r="C81" s="71">
        <v>163077</v>
      </c>
      <c r="D81" s="71">
        <v>1</v>
      </c>
      <c r="E81" s="91">
        <f t="shared" si="0"/>
        <v>163.077</v>
      </c>
    </row>
    <row r="82" spans="2:5" ht="25.5">
      <c r="B82" s="198" t="s">
        <v>272</v>
      </c>
      <c r="C82" s="71">
        <v>29900</v>
      </c>
      <c r="D82" s="71">
        <v>1</v>
      </c>
      <c r="E82" s="91">
        <f t="shared" si="0"/>
        <v>29.9</v>
      </c>
    </row>
    <row r="83" spans="2:5" ht="12.75" customHeight="1">
      <c r="B83" s="198" t="s">
        <v>273</v>
      </c>
      <c r="C83" s="71">
        <v>279000</v>
      </c>
      <c r="D83" s="71">
        <v>1</v>
      </c>
      <c r="E83" s="91">
        <f t="shared" si="0"/>
        <v>279</v>
      </c>
    </row>
    <row r="84" spans="2:5" ht="12.75" customHeight="1">
      <c r="B84" s="198" t="s">
        <v>274</v>
      </c>
      <c r="C84" s="71">
        <v>41198</v>
      </c>
      <c r="D84" s="71">
        <v>3</v>
      </c>
      <c r="E84" s="91">
        <f t="shared" si="0"/>
        <v>123.594</v>
      </c>
    </row>
    <row r="85" spans="2:5" ht="12.75" customHeight="1">
      <c r="B85" s="198" t="s">
        <v>275</v>
      </c>
      <c r="C85" s="71">
        <v>58651</v>
      </c>
      <c r="D85" s="71">
        <v>1</v>
      </c>
      <c r="E85" s="91">
        <f t="shared" si="0"/>
        <v>58.651</v>
      </c>
    </row>
    <row r="86" spans="2:5" ht="12.75">
      <c r="B86" s="198" t="s">
        <v>276</v>
      </c>
      <c r="C86" s="71">
        <v>15621</v>
      </c>
      <c r="D86" s="71">
        <v>1</v>
      </c>
      <c r="E86" s="91">
        <f t="shared" si="0"/>
        <v>15.621</v>
      </c>
    </row>
    <row r="87" spans="2:5" ht="25.5">
      <c r="B87" s="198" t="s">
        <v>277</v>
      </c>
      <c r="C87" s="71">
        <v>62656</v>
      </c>
      <c r="D87" s="71">
        <v>1</v>
      </c>
      <c r="E87" s="91">
        <f t="shared" si="0"/>
        <v>62.656</v>
      </c>
    </row>
    <row r="88" spans="2:5" ht="38.25">
      <c r="B88" s="198" t="s">
        <v>278</v>
      </c>
      <c r="C88" s="71">
        <v>28438</v>
      </c>
      <c r="D88" s="71">
        <v>1</v>
      </c>
      <c r="E88" s="91">
        <f t="shared" si="0"/>
        <v>28.438</v>
      </c>
    </row>
    <row r="89" spans="2:5" ht="12.75">
      <c r="B89" s="198" t="s">
        <v>279</v>
      </c>
      <c r="C89" s="71">
        <v>18825</v>
      </c>
      <c r="D89" s="71">
        <v>1</v>
      </c>
      <c r="E89" s="91">
        <f t="shared" si="0"/>
        <v>18.825</v>
      </c>
    </row>
    <row r="90" spans="2:5" ht="12.75">
      <c r="B90" s="198" t="s">
        <v>280</v>
      </c>
      <c r="C90" s="71">
        <v>81058</v>
      </c>
      <c r="D90" s="71">
        <v>1</v>
      </c>
      <c r="E90" s="91">
        <f t="shared" si="0"/>
        <v>81.058</v>
      </c>
    </row>
    <row r="91" spans="2:5" ht="12.75">
      <c r="B91" s="198" t="s">
        <v>281</v>
      </c>
      <c r="C91" s="71">
        <v>25500</v>
      </c>
      <c r="D91" s="71">
        <v>3</v>
      </c>
      <c r="E91" s="91">
        <f t="shared" si="0"/>
        <v>76.5</v>
      </c>
    </row>
    <row r="92" spans="2:5" ht="12.75">
      <c r="B92" s="198" t="s">
        <v>282</v>
      </c>
      <c r="C92" s="71">
        <v>1900</v>
      </c>
      <c r="D92" s="71">
        <v>3</v>
      </c>
      <c r="E92" s="91">
        <f t="shared" si="0"/>
        <v>5.7</v>
      </c>
    </row>
    <row r="93" spans="2:5" ht="12.75">
      <c r="B93" s="198" t="s">
        <v>283</v>
      </c>
      <c r="C93" s="71">
        <v>18104</v>
      </c>
      <c r="D93" s="71">
        <v>1</v>
      </c>
      <c r="E93" s="91">
        <f t="shared" si="0"/>
        <v>18.104</v>
      </c>
    </row>
    <row r="94" spans="2:5" ht="12.75">
      <c r="B94" s="198" t="s">
        <v>284</v>
      </c>
      <c r="C94" s="71">
        <v>9020</v>
      </c>
      <c r="D94" s="71">
        <v>1</v>
      </c>
      <c r="E94" s="91">
        <f t="shared" si="0"/>
        <v>9.02</v>
      </c>
    </row>
    <row r="95" spans="2:5" ht="25.5">
      <c r="B95" s="198" t="s">
        <v>285</v>
      </c>
      <c r="C95" s="71">
        <v>14900</v>
      </c>
      <c r="D95" s="71">
        <v>1</v>
      </c>
      <c r="E95" s="91">
        <f t="shared" si="0"/>
        <v>14.9</v>
      </c>
    </row>
    <row r="96" spans="2:5" ht="12.75">
      <c r="B96" s="269" t="s">
        <v>296</v>
      </c>
      <c r="C96" s="269"/>
      <c r="D96" s="269"/>
      <c r="E96" s="91">
        <f>SUM(E71:E95)</f>
        <v>1676.1210000000005</v>
      </c>
    </row>
    <row r="97" spans="2:5" ht="12.75">
      <c r="B97" s="268" t="s">
        <v>286</v>
      </c>
      <c r="C97" s="268"/>
      <c r="D97" s="268"/>
      <c r="E97" s="268"/>
    </row>
    <row r="98" spans="2:5" ht="25.5">
      <c r="B98" s="198" t="s">
        <v>287</v>
      </c>
      <c r="C98" s="167">
        <f>D52</f>
        <v>6</v>
      </c>
      <c r="D98" s="167">
        <v>15000</v>
      </c>
      <c r="E98" s="91">
        <f>D98*C98/1000</f>
        <v>90</v>
      </c>
    </row>
    <row r="99" spans="2:5" ht="12.75">
      <c r="B99" s="269" t="s">
        <v>296</v>
      </c>
      <c r="C99" s="269"/>
      <c r="D99" s="269"/>
      <c r="E99" s="91">
        <f>E98</f>
        <v>90</v>
      </c>
    </row>
    <row r="100" spans="2:5" ht="12.75">
      <c r="B100" s="268" t="s">
        <v>288</v>
      </c>
      <c r="C100" s="268"/>
      <c r="D100" s="268"/>
      <c r="E100" s="268"/>
    </row>
    <row r="101" spans="2:5" ht="12.75">
      <c r="B101" s="94" t="s">
        <v>289</v>
      </c>
      <c r="C101" s="94">
        <v>6000</v>
      </c>
      <c r="D101" s="197">
        <v>1</v>
      </c>
      <c r="E101" s="91">
        <f aca="true" t="shared" si="1" ref="E101:E108">D101*C101/1000</f>
        <v>6</v>
      </c>
    </row>
    <row r="102" spans="2:5" ht="25.5">
      <c r="B102" s="94" t="s">
        <v>290</v>
      </c>
      <c r="C102" s="197">
        <v>9000</v>
      </c>
      <c r="D102" s="197">
        <v>1</v>
      </c>
      <c r="E102" s="91">
        <f t="shared" si="1"/>
        <v>9</v>
      </c>
    </row>
    <row r="103" spans="2:5" ht="12.75">
      <c r="B103" s="94" t="s">
        <v>291</v>
      </c>
      <c r="C103" s="197">
        <v>25000</v>
      </c>
      <c r="D103" s="197">
        <v>1</v>
      </c>
      <c r="E103" s="91">
        <f t="shared" si="1"/>
        <v>25</v>
      </c>
    </row>
    <row r="104" spans="2:5" ht="12.75">
      <c r="B104" s="94" t="s">
        <v>292</v>
      </c>
      <c r="C104" s="197">
        <v>10000</v>
      </c>
      <c r="D104" s="197">
        <v>1</v>
      </c>
      <c r="E104" s="91">
        <f t="shared" si="1"/>
        <v>10</v>
      </c>
    </row>
    <row r="105" spans="2:5" ht="12.75">
      <c r="B105" s="94" t="s">
        <v>293</v>
      </c>
      <c r="C105" s="197">
        <v>12000</v>
      </c>
      <c r="D105" s="197">
        <v>1</v>
      </c>
      <c r="E105" s="91">
        <f t="shared" si="1"/>
        <v>12</v>
      </c>
    </row>
    <row r="106" spans="2:5" ht="12.75">
      <c r="B106" s="267" t="s">
        <v>296</v>
      </c>
      <c r="C106" s="267"/>
      <c r="D106" s="267"/>
      <c r="E106" s="91">
        <f>SUM(E101:E105)</f>
        <v>62</v>
      </c>
    </row>
    <row r="107" spans="2:5" ht="12.75">
      <c r="B107" s="268" t="s">
        <v>294</v>
      </c>
      <c r="C107" s="268"/>
      <c r="D107" s="268"/>
      <c r="E107" s="268"/>
    </row>
    <row r="108" spans="2:5" ht="12.75">
      <c r="B108" s="94" t="s">
        <v>295</v>
      </c>
      <c r="C108" s="167">
        <v>45000</v>
      </c>
      <c r="D108" s="167">
        <v>1</v>
      </c>
      <c r="E108" s="171">
        <f t="shared" si="1"/>
        <v>45</v>
      </c>
    </row>
    <row r="109" spans="2:5" ht="12.75">
      <c r="B109" s="267" t="s">
        <v>296</v>
      </c>
      <c r="C109" s="267"/>
      <c r="D109" s="267"/>
      <c r="E109" s="171">
        <f>E108</f>
        <v>45</v>
      </c>
    </row>
    <row r="110" spans="2:5" ht="12.75">
      <c r="B110" s="269" t="s">
        <v>78</v>
      </c>
      <c r="C110" s="269"/>
      <c r="D110" s="269"/>
      <c r="E110" s="198">
        <v>168</v>
      </c>
    </row>
    <row r="111" spans="2:5" ht="12.75">
      <c r="B111" s="269" t="s">
        <v>79</v>
      </c>
      <c r="C111" s="269"/>
      <c r="D111" s="269"/>
      <c r="E111" s="242">
        <v>1.3</v>
      </c>
    </row>
    <row r="112" spans="2:5" ht="12.75">
      <c r="B112" s="269" t="s">
        <v>81</v>
      </c>
      <c r="C112" s="269"/>
      <c r="D112" s="269"/>
      <c r="E112" s="203">
        <f>E110*E111</f>
        <v>218.4</v>
      </c>
    </row>
    <row r="113" spans="2:5" ht="12.75">
      <c r="B113" s="269" t="s">
        <v>73</v>
      </c>
      <c r="C113" s="269"/>
      <c r="D113" s="269"/>
      <c r="E113" s="171">
        <f>E109+E106+E99+E96+E112</f>
        <v>2091.5210000000006</v>
      </c>
    </row>
    <row r="114" ht="12.75"/>
    <row r="115" spans="1:86" s="46" customFormat="1" ht="12" customHeight="1">
      <c r="A115" s="218"/>
      <c r="B115" s="46" t="s">
        <v>82</v>
      </c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</row>
    <row r="116" ht="12.75">
      <c r="B116" s="52" t="s">
        <v>203</v>
      </c>
    </row>
    <row r="117" ht="12.75">
      <c r="B117" s="52"/>
    </row>
    <row r="118" spans="1:5" ht="15">
      <c r="A118" s="129" t="s">
        <v>230</v>
      </c>
      <c r="B118" s="62" t="s">
        <v>329</v>
      </c>
      <c r="C118" s="63"/>
      <c r="D118" s="63"/>
      <c r="E118" s="63"/>
    </row>
    <row r="119" spans="2:5" ht="12.75">
      <c r="B119" s="128" t="s">
        <v>38</v>
      </c>
      <c r="C119" s="128" t="s">
        <v>4</v>
      </c>
      <c r="D119" s="128" t="s">
        <v>39</v>
      </c>
      <c r="E119" s="128" t="s">
        <v>37</v>
      </c>
    </row>
    <row r="120" spans="2:5" ht="12.75">
      <c r="B120" s="130">
        <v>0.21</v>
      </c>
      <c r="C120" s="130">
        <v>0.28</v>
      </c>
      <c r="D120" s="130">
        <v>0.27</v>
      </c>
      <c r="E120" s="130">
        <v>0.24</v>
      </c>
    </row>
    <row r="121" spans="2:5" ht="12.75">
      <c r="B121" s="136"/>
      <c r="C121" s="136"/>
      <c r="D121" s="136"/>
      <c r="E121" s="136"/>
    </row>
    <row r="122" spans="1:2" s="63" customFormat="1" ht="15">
      <c r="A122" s="129" t="s">
        <v>231</v>
      </c>
      <c r="B122" s="62" t="s">
        <v>172</v>
      </c>
    </row>
    <row r="123" spans="1:5" s="63" customFormat="1" ht="12.75">
      <c r="A123" s="129"/>
      <c r="B123" s="128" t="s">
        <v>168</v>
      </c>
      <c r="C123" s="128" t="s">
        <v>169</v>
      </c>
      <c r="D123" s="128" t="s">
        <v>170</v>
      </c>
      <c r="E123" s="128" t="s">
        <v>171</v>
      </c>
    </row>
    <row r="124" spans="2:5" s="129" customFormat="1" ht="12.75">
      <c r="B124" s="130">
        <v>0.1</v>
      </c>
      <c r="C124" s="130">
        <v>0.05</v>
      </c>
      <c r="D124" s="130">
        <v>0.05</v>
      </c>
      <c r="E124" s="130">
        <v>0.05</v>
      </c>
    </row>
    <row r="125" ht="12.75">
      <c r="B125" s="52"/>
    </row>
    <row r="126" spans="1:2" ht="17.25" customHeight="1">
      <c r="A126" s="129" t="s">
        <v>232</v>
      </c>
      <c r="B126" s="66" t="s">
        <v>330</v>
      </c>
    </row>
    <row r="127" spans="1:15" s="63" customFormat="1" ht="59.25" customHeight="1">
      <c r="A127" s="129"/>
      <c r="B127" s="59" t="s">
        <v>2</v>
      </c>
      <c r="C127" s="67" t="s">
        <v>12</v>
      </c>
      <c r="D127" s="67" t="s">
        <v>13</v>
      </c>
      <c r="E127" s="67" t="s">
        <v>14</v>
      </c>
      <c r="F127" s="67" t="s">
        <v>15</v>
      </c>
      <c r="G127" s="67" t="s">
        <v>16</v>
      </c>
      <c r="H127" s="67" t="s">
        <v>17</v>
      </c>
      <c r="I127" s="67" t="s">
        <v>18</v>
      </c>
      <c r="J127" s="67" t="s">
        <v>19</v>
      </c>
      <c r="K127" s="67" t="s">
        <v>20</v>
      </c>
      <c r="L127" s="67" t="s">
        <v>21</v>
      </c>
      <c r="M127" s="67" t="s">
        <v>22</v>
      </c>
      <c r="N127" s="67" t="s">
        <v>23</v>
      </c>
      <c r="O127" s="68" t="s">
        <v>24</v>
      </c>
    </row>
    <row r="128" spans="1:15" s="63" customFormat="1" ht="25.5">
      <c r="A128" s="129"/>
      <c r="B128" s="60" t="s">
        <v>83</v>
      </c>
      <c r="C128" s="61">
        <v>31</v>
      </c>
      <c r="D128" s="61">
        <v>28</v>
      </c>
      <c r="E128" s="61">
        <v>31</v>
      </c>
      <c r="F128" s="61">
        <v>30</v>
      </c>
      <c r="G128" s="61">
        <v>31</v>
      </c>
      <c r="H128" s="61">
        <v>30</v>
      </c>
      <c r="I128" s="61">
        <v>31</v>
      </c>
      <c r="J128" s="61">
        <v>31</v>
      </c>
      <c r="K128" s="61">
        <v>30</v>
      </c>
      <c r="L128" s="61">
        <v>31</v>
      </c>
      <c r="M128" s="61">
        <v>30</v>
      </c>
      <c r="N128" s="61">
        <v>31</v>
      </c>
      <c r="O128" s="65">
        <f>SUM(C128:N128)</f>
        <v>365</v>
      </c>
    </row>
    <row r="129" spans="1:15" s="63" customFormat="1" ht="25.5">
      <c r="A129" s="129"/>
      <c r="B129" s="60" t="s">
        <v>84</v>
      </c>
      <c r="C129" s="61">
        <v>24</v>
      </c>
      <c r="D129" s="61">
        <v>23</v>
      </c>
      <c r="E129" s="61">
        <v>26</v>
      </c>
      <c r="F129" s="61">
        <v>26</v>
      </c>
      <c r="G129" s="61">
        <v>26</v>
      </c>
      <c r="H129" s="61">
        <v>26</v>
      </c>
      <c r="I129" s="61">
        <v>26</v>
      </c>
      <c r="J129" s="61">
        <v>27</v>
      </c>
      <c r="K129" s="61">
        <v>26</v>
      </c>
      <c r="L129" s="61">
        <v>26</v>
      </c>
      <c r="M129" s="61">
        <v>26</v>
      </c>
      <c r="N129" s="61">
        <v>26</v>
      </c>
      <c r="O129" s="65">
        <f>SUM(C129:N129)</f>
        <v>308</v>
      </c>
    </row>
    <row r="130" ht="12.75"/>
    <row r="131" spans="1:2" ht="15">
      <c r="A131" s="129" t="s">
        <v>233</v>
      </c>
      <c r="B131" s="66" t="s">
        <v>331</v>
      </c>
    </row>
    <row r="132" spans="2:7" ht="26.25" customHeight="1">
      <c r="B132" s="260" t="s">
        <v>85</v>
      </c>
      <c r="C132" s="260" t="s">
        <v>86</v>
      </c>
      <c r="D132" s="260" t="s">
        <v>301</v>
      </c>
      <c r="E132" s="260"/>
      <c r="F132" s="260" t="s">
        <v>87</v>
      </c>
      <c r="G132" s="260"/>
    </row>
    <row r="133" spans="2:7" ht="12.75">
      <c r="B133" s="260"/>
      <c r="C133" s="260"/>
      <c r="D133" s="69" t="s">
        <v>88</v>
      </c>
      <c r="E133" s="69" t="s">
        <v>89</v>
      </c>
      <c r="F133" s="69" t="s">
        <v>88</v>
      </c>
      <c r="G133" s="69" t="s">
        <v>89</v>
      </c>
    </row>
    <row r="134" spans="2:7" ht="32.25" customHeight="1">
      <c r="B134" s="70" t="s">
        <v>302</v>
      </c>
      <c r="C134" s="231">
        <v>4750</v>
      </c>
      <c r="D134" s="231">
        <v>1</v>
      </c>
      <c r="E134" s="229">
        <f>D134*$O$129</f>
        <v>308</v>
      </c>
      <c r="F134" s="229">
        <f>D134*C134/1000</f>
        <v>4.75</v>
      </c>
      <c r="G134" s="230">
        <f>C134*E134/1000</f>
        <v>1463</v>
      </c>
    </row>
    <row r="135" spans="2:7" ht="15" customHeight="1">
      <c r="B135" s="70" t="s">
        <v>303</v>
      </c>
      <c r="C135" s="231">
        <v>3800</v>
      </c>
      <c r="D135" s="231">
        <v>3</v>
      </c>
      <c r="E135" s="229">
        <f aca="true" t="shared" si="2" ref="E135:E140">D135*$O$129</f>
        <v>924</v>
      </c>
      <c r="F135" s="229">
        <f aca="true" t="shared" si="3" ref="F135:F141">D135*C135/1000</f>
        <v>11.4</v>
      </c>
      <c r="G135" s="230">
        <f aca="true" t="shared" si="4" ref="G135:G141">C135*E135/1000</f>
        <v>3511.2</v>
      </c>
    </row>
    <row r="136" spans="2:7" ht="19.5" customHeight="1">
      <c r="B136" s="70" t="s">
        <v>304</v>
      </c>
      <c r="C136" s="231">
        <v>5700</v>
      </c>
      <c r="D136" s="231">
        <v>1</v>
      </c>
      <c r="E136" s="229">
        <f t="shared" si="2"/>
        <v>308</v>
      </c>
      <c r="F136" s="229">
        <f t="shared" si="3"/>
        <v>5.7</v>
      </c>
      <c r="G136" s="230">
        <f t="shared" si="4"/>
        <v>1755.6</v>
      </c>
    </row>
    <row r="137" spans="2:7" ht="25.5">
      <c r="B137" s="70" t="s">
        <v>305</v>
      </c>
      <c r="C137" s="231">
        <v>950</v>
      </c>
      <c r="D137" s="231">
        <v>8</v>
      </c>
      <c r="E137" s="229">
        <f t="shared" si="2"/>
        <v>2464</v>
      </c>
      <c r="F137" s="229">
        <f t="shared" si="3"/>
        <v>7.6</v>
      </c>
      <c r="G137" s="230">
        <f t="shared" si="4"/>
        <v>2340.8</v>
      </c>
    </row>
    <row r="138" spans="2:7" ht="25.5">
      <c r="B138" s="70" t="s">
        <v>306</v>
      </c>
      <c r="C138" s="231">
        <v>1425</v>
      </c>
      <c r="D138" s="231">
        <v>5</v>
      </c>
      <c r="E138" s="229">
        <f t="shared" si="2"/>
        <v>1540</v>
      </c>
      <c r="F138" s="229">
        <f t="shared" si="3"/>
        <v>7.125</v>
      </c>
      <c r="G138" s="230">
        <f t="shared" si="4"/>
        <v>2194.5</v>
      </c>
    </row>
    <row r="139" spans="2:7" ht="25.5">
      <c r="B139" s="70" t="s">
        <v>307</v>
      </c>
      <c r="C139" s="231">
        <v>1425</v>
      </c>
      <c r="D139" s="231">
        <v>5</v>
      </c>
      <c r="E139" s="229">
        <f t="shared" si="2"/>
        <v>1540</v>
      </c>
      <c r="F139" s="229">
        <f t="shared" si="3"/>
        <v>7.125</v>
      </c>
      <c r="G139" s="230">
        <f t="shared" si="4"/>
        <v>2194.5</v>
      </c>
    </row>
    <row r="140" spans="2:7" ht="12.75">
      <c r="B140" s="70" t="s">
        <v>348</v>
      </c>
      <c r="C140" s="231">
        <v>950</v>
      </c>
      <c r="D140" s="231">
        <v>8</v>
      </c>
      <c r="E140" s="229">
        <f t="shared" si="2"/>
        <v>2464</v>
      </c>
      <c r="F140" s="229">
        <f t="shared" si="3"/>
        <v>7.6</v>
      </c>
      <c r="G140" s="230">
        <f t="shared" si="4"/>
        <v>2340.8</v>
      </c>
    </row>
    <row r="141" spans="2:7" ht="12.75">
      <c r="B141" s="70" t="s">
        <v>308</v>
      </c>
      <c r="C141" s="231">
        <v>475</v>
      </c>
      <c r="D141" s="231">
        <v>10</v>
      </c>
      <c r="E141" s="229">
        <f>D141*(E129+F129+G129+H129+I129+J129+K129+L129)</f>
        <v>2090</v>
      </c>
      <c r="F141" s="229">
        <f t="shared" si="3"/>
        <v>4.75</v>
      </c>
      <c r="G141" s="230">
        <f t="shared" si="4"/>
        <v>992.75</v>
      </c>
    </row>
    <row r="142" spans="2:7" ht="12.75">
      <c r="B142" s="70" t="s">
        <v>11</v>
      </c>
      <c r="C142" s="231" t="s">
        <v>36</v>
      </c>
      <c r="D142" s="230" t="s">
        <v>36</v>
      </c>
      <c r="E142" s="230">
        <f>SUM(E134:E141)</f>
        <v>11638</v>
      </c>
      <c r="F142" s="230">
        <f>SUM(F134:F141)</f>
        <v>56.05</v>
      </c>
      <c r="G142" s="230">
        <f>SUM(G134:G141)</f>
        <v>16793.149999999998</v>
      </c>
    </row>
    <row r="143" spans="2:7" ht="15">
      <c r="B143" s="72"/>
      <c r="C143" s="73"/>
      <c r="D143" s="90"/>
      <c r="E143" s="90"/>
      <c r="F143" s="90"/>
      <c r="G143" s="90"/>
    </row>
    <row r="144" spans="1:86" s="46" customFormat="1" ht="12" customHeight="1">
      <c r="A144" s="218"/>
      <c r="B144" s="46" t="s">
        <v>90</v>
      </c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</row>
    <row r="145" ht="12.75">
      <c r="B145" s="52" t="s">
        <v>202</v>
      </c>
    </row>
    <row r="146" ht="12.75">
      <c r="B146" s="52"/>
    </row>
    <row r="147" spans="1:2" ht="17.25" customHeight="1">
      <c r="A147" s="129" t="s">
        <v>234</v>
      </c>
      <c r="B147" s="62" t="s">
        <v>332</v>
      </c>
    </row>
    <row r="148" spans="2:4" ht="36.75" customHeight="1">
      <c r="B148" s="260" t="s">
        <v>317</v>
      </c>
      <c r="C148" s="260" t="s">
        <v>343</v>
      </c>
      <c r="D148" s="260"/>
    </row>
    <row r="149" spans="2:4" ht="12.75">
      <c r="B149" s="260"/>
      <c r="C149" s="69" t="s">
        <v>88</v>
      </c>
      <c r="D149" s="69" t="s">
        <v>89</v>
      </c>
    </row>
    <row r="150" spans="2:4" ht="38.25">
      <c r="B150" s="70" t="s">
        <v>316</v>
      </c>
      <c r="C150" s="209">
        <f>F141*0.12</f>
        <v>0.57</v>
      </c>
      <c r="D150" s="91">
        <f>G141*0.12</f>
        <v>119.13</v>
      </c>
    </row>
    <row r="151" spans="2:4" ht="12.75">
      <c r="B151" s="70" t="s">
        <v>11</v>
      </c>
      <c r="C151" s="91">
        <f>SUM(C150:C150)</f>
        <v>0.57</v>
      </c>
      <c r="D151" s="91">
        <f>SUM(D150:D150)</f>
        <v>119.13</v>
      </c>
    </row>
    <row r="152" ht="12.75"/>
    <row r="153" spans="1:2" ht="15">
      <c r="A153" s="129" t="s">
        <v>237</v>
      </c>
      <c r="B153" s="62" t="s">
        <v>333</v>
      </c>
    </row>
    <row r="154" spans="2:4" ht="30.75" customHeight="1">
      <c r="B154" s="254" t="s">
        <v>71</v>
      </c>
      <c r="C154" s="252" t="s">
        <v>343</v>
      </c>
      <c r="D154" s="253"/>
    </row>
    <row r="155" spans="2:4" ht="12.75">
      <c r="B155" s="255"/>
      <c r="C155" s="69" t="s">
        <v>88</v>
      </c>
      <c r="D155" s="69" t="s">
        <v>89</v>
      </c>
    </row>
    <row r="156" spans="2:4" ht="12.75">
      <c r="B156" s="70" t="str">
        <f aca="true" t="shared" si="5" ref="B156:B161">B46</f>
        <v>Старший мастер</v>
      </c>
      <c r="C156" s="172">
        <f aca="true" t="shared" si="6" ref="C156:C161">$F$142*C46%</f>
        <v>5.605</v>
      </c>
      <c r="D156" s="226">
        <f aca="true" t="shared" si="7" ref="D156:D161">C156*$O$129</f>
        <v>1726.3400000000001</v>
      </c>
    </row>
    <row r="157" spans="2:4" ht="25.5">
      <c r="B157" s="70" t="str">
        <f t="shared" si="5"/>
        <v>Моторист/мастер по ремонту двигателей</v>
      </c>
      <c r="C157" s="172">
        <f t="shared" si="6"/>
        <v>4.484</v>
      </c>
      <c r="D157" s="226">
        <f t="shared" si="7"/>
        <v>1381.072</v>
      </c>
    </row>
    <row r="158" spans="2:4" ht="12.75">
      <c r="B158" s="70" t="str">
        <f t="shared" si="5"/>
        <v>Автомеханик</v>
      </c>
      <c r="C158" s="172">
        <f t="shared" si="6"/>
        <v>4.484</v>
      </c>
      <c r="D158" s="226">
        <f t="shared" si="7"/>
        <v>1381.072</v>
      </c>
    </row>
    <row r="159" spans="2:4" ht="12.75">
      <c r="B159" s="70" t="str">
        <f t="shared" si="5"/>
        <v>Автоэлектрик</v>
      </c>
      <c r="C159" s="172">
        <f t="shared" si="6"/>
        <v>4.484</v>
      </c>
      <c r="D159" s="226">
        <f t="shared" si="7"/>
        <v>1381.072</v>
      </c>
    </row>
    <row r="160" spans="2:4" ht="25.5">
      <c r="B160" s="70" t="str">
        <f t="shared" si="5"/>
        <v>Рихтовщик /Автомаляр/Полировщик/</v>
      </c>
      <c r="C160" s="172">
        <f t="shared" si="6"/>
        <v>4.484</v>
      </c>
      <c r="D160" s="226">
        <f t="shared" si="7"/>
        <v>1381.072</v>
      </c>
    </row>
    <row r="161" spans="2:4" ht="25.5">
      <c r="B161" s="70" t="str">
        <f t="shared" si="5"/>
        <v>Техник автомойки, разнорабочий</v>
      </c>
      <c r="C161" s="172">
        <f t="shared" si="6"/>
        <v>2.8025</v>
      </c>
      <c r="D161" s="226">
        <f t="shared" si="7"/>
        <v>863.1700000000001</v>
      </c>
    </row>
    <row r="162" spans="2:4" ht="12.75">
      <c r="B162" s="70" t="s">
        <v>73</v>
      </c>
      <c r="C162" s="172">
        <f>SUM(C156:C161)</f>
        <v>26.343500000000006</v>
      </c>
      <c r="D162" s="171">
        <f>SUM(D156:D161)</f>
        <v>8113.798000000001</v>
      </c>
    </row>
    <row r="163" ht="12.75"/>
    <row r="164" spans="1:2" ht="15">
      <c r="A164" s="129" t="s">
        <v>238</v>
      </c>
      <c r="B164" s="62" t="s">
        <v>334</v>
      </c>
    </row>
    <row r="165" spans="2:3" ht="12.75" customHeight="1">
      <c r="B165" s="200" t="s">
        <v>2</v>
      </c>
      <c r="C165" s="200" t="s">
        <v>91</v>
      </c>
    </row>
    <row r="166" spans="2:3" ht="25.5">
      <c r="B166" s="89" t="s">
        <v>310</v>
      </c>
      <c r="C166" s="205">
        <f>25/30/12</f>
        <v>0.06944444444444445</v>
      </c>
    </row>
    <row r="167" spans="2:3" ht="25.5">
      <c r="B167" s="77" t="s">
        <v>312</v>
      </c>
      <c r="C167" s="199">
        <f>C166*F188*O129</f>
        <v>4277.777777777778</v>
      </c>
    </row>
    <row r="168" spans="2:3" ht="24.75" customHeight="1">
      <c r="B168" s="77" t="s">
        <v>309</v>
      </c>
      <c r="C168" s="206">
        <f>(2510-720)/30/8</f>
        <v>7.458333333333333</v>
      </c>
    </row>
    <row r="169" spans="2:3" ht="25.5">
      <c r="B169" s="77" t="s">
        <v>311</v>
      </c>
      <c r="C169" s="199">
        <f>C168*O129*8</f>
        <v>18377.333333333332</v>
      </c>
    </row>
    <row r="170" spans="2:3" ht="12.75">
      <c r="B170" s="77" t="s">
        <v>313</v>
      </c>
      <c r="C170" s="207">
        <f>C167+C169</f>
        <v>22655.11111111111</v>
      </c>
    </row>
    <row r="171" spans="2:3" ht="12.75">
      <c r="B171" s="77" t="s">
        <v>92</v>
      </c>
      <c r="C171" s="88">
        <v>4.36</v>
      </c>
    </row>
    <row r="172" spans="2:3" ht="12.75">
      <c r="B172" s="77" t="s">
        <v>93</v>
      </c>
      <c r="C172" s="208">
        <f>C171*C170/1000</f>
        <v>98.77628444444444</v>
      </c>
    </row>
    <row r="173" ht="12.75"/>
    <row r="174" spans="1:2" ht="15">
      <c r="A174" s="129" t="s">
        <v>239</v>
      </c>
      <c r="B174" s="66" t="s">
        <v>335</v>
      </c>
    </row>
    <row r="175" spans="2:9" ht="15">
      <c r="B175" s="243" t="s">
        <v>94</v>
      </c>
      <c r="C175" s="243"/>
      <c r="D175" s="243"/>
      <c r="E175" s="243"/>
      <c r="F175" s="114"/>
      <c r="G175" s="78"/>
      <c r="H175" s="78"/>
      <c r="I175" s="78"/>
    </row>
    <row r="176" spans="2:9" ht="15">
      <c r="B176" s="246" t="s">
        <v>318</v>
      </c>
      <c r="C176" s="246"/>
      <c r="D176" s="246"/>
      <c r="E176" s="79">
        <f>E141</f>
        <v>2090</v>
      </c>
      <c r="F176" s="114"/>
      <c r="G176" s="78"/>
      <c r="H176" s="78"/>
      <c r="I176" s="78"/>
    </row>
    <row r="177" spans="2:9" ht="15">
      <c r="B177" s="246" t="s">
        <v>95</v>
      </c>
      <c r="C177" s="246"/>
      <c r="D177" s="246"/>
      <c r="E177" s="79">
        <f>D52</f>
        <v>6</v>
      </c>
      <c r="F177" s="114"/>
      <c r="G177" s="78"/>
      <c r="H177" s="78"/>
      <c r="I177" s="78"/>
    </row>
    <row r="178" spans="2:9" ht="15">
      <c r="B178" s="246" t="s">
        <v>96</v>
      </c>
      <c r="C178" s="246"/>
      <c r="D178" s="246"/>
      <c r="E178" s="74">
        <v>57.07</v>
      </c>
      <c r="F178" s="114"/>
      <c r="G178" s="78"/>
      <c r="H178" s="78"/>
      <c r="I178" s="78"/>
    </row>
    <row r="179" spans="2:9" ht="15">
      <c r="B179" s="259" t="s">
        <v>97</v>
      </c>
      <c r="C179" s="259"/>
      <c r="D179" s="259"/>
      <c r="E179" s="80">
        <v>38.51</v>
      </c>
      <c r="F179" s="115"/>
      <c r="G179" s="116"/>
      <c r="H179" s="116"/>
      <c r="I179" s="116"/>
    </row>
    <row r="180" spans="2:9" ht="31.5" customHeight="1">
      <c r="B180" s="243" t="s">
        <v>98</v>
      </c>
      <c r="C180" s="243" t="s">
        <v>99</v>
      </c>
      <c r="D180" s="243"/>
      <c r="E180" s="243"/>
      <c r="F180" s="243" t="s">
        <v>100</v>
      </c>
      <c r="G180" s="243"/>
      <c r="H180" s="243" t="s">
        <v>101</v>
      </c>
      <c r="I180" s="243"/>
    </row>
    <row r="181" spans="2:9" ht="30">
      <c r="B181" s="243"/>
      <c r="C181" s="74" t="s">
        <v>102</v>
      </c>
      <c r="D181" s="243" t="s">
        <v>103</v>
      </c>
      <c r="E181" s="243"/>
      <c r="F181" s="74" t="s">
        <v>102</v>
      </c>
      <c r="G181" s="74" t="s">
        <v>104</v>
      </c>
      <c r="H181" s="74" t="s">
        <v>102</v>
      </c>
      <c r="I181" s="74" t="s">
        <v>104</v>
      </c>
    </row>
    <row r="182" spans="2:9" ht="45">
      <c r="B182" s="75" t="s">
        <v>314</v>
      </c>
      <c r="C182" s="74" t="s">
        <v>315</v>
      </c>
      <c r="D182" s="243" t="str">
        <f>C182</f>
        <v>0,115 куб. м на авто </v>
      </c>
      <c r="E182" s="243"/>
      <c r="F182" s="83">
        <f>E141*0.115</f>
        <v>240.35000000000002</v>
      </c>
      <c r="G182" s="83">
        <f>0.115*E141</f>
        <v>240.35000000000002</v>
      </c>
      <c r="H182" s="85">
        <f>F182*$E$178/1000</f>
        <v>13.716774500000001</v>
      </c>
      <c r="I182" s="85">
        <f>G182*$E$179/1000</f>
        <v>9.255878500000001</v>
      </c>
    </row>
    <row r="183" spans="2:9" ht="15">
      <c r="B183" s="75" t="s">
        <v>105</v>
      </c>
      <c r="C183" s="243" t="s">
        <v>106</v>
      </c>
      <c r="D183" s="243"/>
      <c r="E183" s="243"/>
      <c r="F183" s="83">
        <f>0.0025*E177*O129</f>
        <v>4.62</v>
      </c>
      <c r="G183" s="83">
        <f>0.0025*E177*O129</f>
        <v>4.62</v>
      </c>
      <c r="H183" s="85">
        <f>F183*$E$178/1000</f>
        <v>0.26366340000000005</v>
      </c>
      <c r="I183" s="85">
        <f>G183*$E$179/1000</f>
        <v>0.1779162</v>
      </c>
    </row>
    <row r="184" spans="2:9" ht="15">
      <c r="B184" s="247" t="s">
        <v>11</v>
      </c>
      <c r="C184" s="247"/>
      <c r="D184" s="247"/>
      <c r="E184" s="247"/>
      <c r="F184" s="84">
        <f>SUM(F182:F183)</f>
        <v>244.97000000000003</v>
      </c>
      <c r="G184" s="84">
        <f>SUM(G182:G183)</f>
        <v>244.97000000000003</v>
      </c>
      <c r="H184" s="84">
        <f>SUM(H182:H183)</f>
        <v>13.980437900000002</v>
      </c>
      <c r="I184" s="84">
        <f>SUM(I182:I183)</f>
        <v>9.433794700000002</v>
      </c>
    </row>
    <row r="185" ht="12.75"/>
    <row r="186" spans="1:2" ht="15">
      <c r="A186" s="129" t="s">
        <v>240</v>
      </c>
      <c r="B186" s="66" t="s">
        <v>336</v>
      </c>
    </row>
    <row r="187" spans="2:9" ht="60">
      <c r="B187" s="74" t="s">
        <v>107</v>
      </c>
      <c r="C187" s="74" t="s">
        <v>3</v>
      </c>
      <c r="D187" s="74" t="s">
        <v>108</v>
      </c>
      <c r="E187" s="74" t="s">
        <v>109</v>
      </c>
      <c r="F187" s="74" t="s">
        <v>110</v>
      </c>
      <c r="G187" s="74" t="s">
        <v>111</v>
      </c>
      <c r="H187" s="74" t="s">
        <v>112</v>
      </c>
      <c r="I187" s="74" t="s">
        <v>101</v>
      </c>
    </row>
    <row r="188" spans="2:11" ht="30">
      <c r="B188" s="81" t="s">
        <v>319</v>
      </c>
      <c r="C188" s="74" t="s">
        <v>113</v>
      </c>
      <c r="D188" s="232">
        <v>671</v>
      </c>
      <c r="E188" s="232">
        <v>1.04</v>
      </c>
      <c r="F188" s="232">
        <v>200</v>
      </c>
      <c r="G188" s="233">
        <f>D188*E188*F188</f>
        <v>139568</v>
      </c>
      <c r="H188" s="234">
        <v>4.36</v>
      </c>
      <c r="I188" s="233">
        <f>G188*H188/1000</f>
        <v>608.5164800000001</v>
      </c>
      <c r="K188" s="86"/>
    </row>
    <row r="189" spans="2:11" ht="15">
      <c r="B189" s="246" t="s">
        <v>114</v>
      </c>
      <c r="C189" s="246"/>
      <c r="D189" s="246"/>
      <c r="E189" s="246"/>
      <c r="F189" s="246"/>
      <c r="G189" s="246"/>
      <c r="H189" s="246"/>
      <c r="I189" s="246"/>
      <c r="K189" s="86"/>
    </row>
    <row r="190" ht="12.75"/>
    <row r="191" spans="1:2" ht="15">
      <c r="A191" s="129" t="s">
        <v>241</v>
      </c>
      <c r="B191" s="66" t="s">
        <v>337</v>
      </c>
    </row>
    <row r="192" spans="2:5" ht="45">
      <c r="B192" s="74" t="s">
        <v>115</v>
      </c>
      <c r="C192" s="74" t="s">
        <v>110</v>
      </c>
      <c r="D192" s="74" t="s">
        <v>116</v>
      </c>
      <c r="E192" s="74" t="s">
        <v>101</v>
      </c>
    </row>
    <row r="193" spans="2:5" ht="15">
      <c r="B193" s="81" t="s">
        <v>117</v>
      </c>
      <c r="C193" s="79">
        <f>F188</f>
        <v>200</v>
      </c>
      <c r="D193" s="74">
        <v>0</v>
      </c>
      <c r="E193" s="79">
        <f>D193*C193/1000*12</f>
        <v>0</v>
      </c>
    </row>
    <row r="194" ht="12.75"/>
    <row r="195" spans="1:2" ht="15">
      <c r="A195" s="129" t="s">
        <v>242</v>
      </c>
      <c r="B195" s="66" t="s">
        <v>338</v>
      </c>
    </row>
    <row r="196" spans="2:6" ht="60">
      <c r="B196" s="74" t="s">
        <v>118</v>
      </c>
      <c r="C196" s="74" t="s">
        <v>119</v>
      </c>
      <c r="D196" s="74" t="s">
        <v>120</v>
      </c>
      <c r="E196" s="74" t="s">
        <v>121</v>
      </c>
      <c r="F196" s="74" t="s">
        <v>122</v>
      </c>
    </row>
    <row r="197" spans="2:6" ht="15">
      <c r="B197" s="81" t="s">
        <v>123</v>
      </c>
      <c r="C197" s="236">
        <v>30</v>
      </c>
      <c r="D197" s="237">
        <f>1/C197</f>
        <v>0.03333333333333333</v>
      </c>
      <c r="E197" s="238">
        <f>C65</f>
        <v>4220</v>
      </c>
      <c r="F197" s="239">
        <f>D197*E197</f>
        <v>140.66666666666666</v>
      </c>
    </row>
    <row r="198" spans="2:6" ht="15">
      <c r="B198" s="81" t="s">
        <v>124</v>
      </c>
      <c r="C198" s="236">
        <v>5</v>
      </c>
      <c r="D198" s="237">
        <f>1/C198</f>
        <v>0.2</v>
      </c>
      <c r="E198" s="238">
        <f>E96+E112</f>
        <v>1894.5210000000006</v>
      </c>
      <c r="F198" s="239">
        <f>D198*E198</f>
        <v>378.9042000000002</v>
      </c>
    </row>
    <row r="199" spans="2:6" ht="15">
      <c r="B199" s="81" t="s">
        <v>288</v>
      </c>
      <c r="C199" s="236">
        <v>3</v>
      </c>
      <c r="D199" s="237">
        <f>1/C199</f>
        <v>0.3333333333333333</v>
      </c>
      <c r="E199" s="238">
        <f>E106</f>
        <v>62</v>
      </c>
      <c r="F199" s="239">
        <f>D199*E199</f>
        <v>20.666666666666664</v>
      </c>
    </row>
    <row r="200" spans="2:6" ht="15">
      <c r="B200" s="81" t="s">
        <v>339</v>
      </c>
      <c r="C200" s="236">
        <v>1</v>
      </c>
      <c r="D200" s="237">
        <f>1/C200</f>
        <v>1</v>
      </c>
      <c r="E200" s="238">
        <f>E98</f>
        <v>90</v>
      </c>
      <c r="F200" s="239">
        <f>D200*E200</f>
        <v>90</v>
      </c>
    </row>
    <row r="201" spans="2:6" ht="30">
      <c r="B201" s="81" t="s">
        <v>340</v>
      </c>
      <c r="C201" s="236">
        <v>2</v>
      </c>
      <c r="D201" s="237">
        <f>1/C201</f>
        <v>0.5</v>
      </c>
      <c r="E201" s="238">
        <f>E108</f>
        <v>45</v>
      </c>
      <c r="F201" s="239">
        <f>D201*E201</f>
        <v>22.5</v>
      </c>
    </row>
    <row r="202" spans="2:6" ht="15">
      <c r="B202" s="264" t="s">
        <v>11</v>
      </c>
      <c r="C202" s="265"/>
      <c r="D202" s="266"/>
      <c r="E202" s="235">
        <f>SUM(E197:E201)</f>
        <v>6311.521000000001</v>
      </c>
      <c r="F202" s="235">
        <f>SUM(F197:F201)</f>
        <v>652.7375333333334</v>
      </c>
    </row>
    <row r="203" spans="2:6" ht="15">
      <c r="B203" s="82"/>
      <c r="C203" s="82"/>
      <c r="D203" s="82"/>
      <c r="E203" s="222">
        <f>E202-E113-C65</f>
        <v>0</v>
      </c>
      <c r="F203" s="87"/>
    </row>
    <row r="204" spans="1:2" ht="15">
      <c r="A204" s="129" t="s">
        <v>243</v>
      </c>
      <c r="B204" s="62" t="s">
        <v>342</v>
      </c>
    </row>
    <row r="205" spans="2:3" ht="38.25">
      <c r="B205" s="69" t="s">
        <v>115</v>
      </c>
      <c r="C205" s="69" t="s">
        <v>125</v>
      </c>
    </row>
    <row r="206" spans="2:3" ht="25.5">
      <c r="B206" s="223" t="s">
        <v>341</v>
      </c>
      <c r="C206" s="227">
        <f>5.5*12</f>
        <v>66</v>
      </c>
    </row>
    <row r="207" spans="2:3" ht="12.75">
      <c r="B207" s="70" t="s">
        <v>126</v>
      </c>
      <c r="C207" s="227">
        <f>1.5*12</f>
        <v>18</v>
      </c>
    </row>
    <row r="208" spans="2:3" ht="38.25">
      <c r="B208" s="70" t="s">
        <v>127</v>
      </c>
      <c r="C208" s="227">
        <f>2*12</f>
        <v>24</v>
      </c>
    </row>
    <row r="209" spans="2:3" ht="12.75">
      <c r="B209" s="70" t="s">
        <v>128</v>
      </c>
      <c r="C209" s="227">
        <f>3*12</f>
        <v>36</v>
      </c>
    </row>
    <row r="210" spans="2:3" ht="38.25">
      <c r="B210" s="70" t="s">
        <v>236</v>
      </c>
      <c r="C210" s="227">
        <f>G142*0.005</f>
        <v>83.96574999999999</v>
      </c>
    </row>
    <row r="211" spans="2:3" ht="12.75">
      <c r="B211" s="70" t="s">
        <v>11</v>
      </c>
      <c r="C211" s="225">
        <f>SUM(C207:C210)</f>
        <v>161.96574999999999</v>
      </c>
    </row>
    <row r="212" ht="12.75"/>
    <row r="213" spans="1:2" ht="12.75">
      <c r="A213" s="129" t="s">
        <v>244</v>
      </c>
      <c r="B213" s="63" t="s">
        <v>129</v>
      </c>
    </row>
    <row r="214" spans="2:4" ht="38.25" customHeight="1">
      <c r="B214" s="254" t="s">
        <v>115</v>
      </c>
      <c r="C214" s="252" t="s">
        <v>130</v>
      </c>
      <c r="D214" s="253"/>
    </row>
    <row r="215" spans="2:4" ht="12.75">
      <c r="B215" s="255"/>
      <c r="C215" s="69" t="s">
        <v>8</v>
      </c>
      <c r="D215" s="69" t="s">
        <v>34</v>
      </c>
    </row>
    <row r="216" spans="2:4" ht="12.75">
      <c r="B216" s="70" t="s">
        <v>31</v>
      </c>
      <c r="C216" s="171">
        <f>D151</f>
        <v>119.13</v>
      </c>
      <c r="D216" s="172">
        <f>C216/$C$224*100</f>
        <v>1.218305161717084</v>
      </c>
    </row>
    <row r="217" spans="2:4" ht="12.75">
      <c r="B217" s="70" t="s">
        <v>131</v>
      </c>
      <c r="C217" s="171">
        <f>D162</f>
        <v>8113.798000000001</v>
      </c>
      <c r="D217" s="172">
        <f aca="true" t="shared" si="8" ref="D217:D223">C217/$C$224*100</f>
        <v>82.9772684003169</v>
      </c>
    </row>
    <row r="218" spans="2:4" ht="12.75">
      <c r="B218" s="70" t="s">
        <v>132</v>
      </c>
      <c r="C218" s="226">
        <f>C172</f>
        <v>98.77628444444444</v>
      </c>
      <c r="D218" s="172">
        <f t="shared" si="8"/>
        <v>1.0101540937958664</v>
      </c>
    </row>
    <row r="219" spans="2:4" ht="12.75">
      <c r="B219" s="70" t="s">
        <v>133</v>
      </c>
      <c r="C219" s="226">
        <f>H184+I184</f>
        <v>23.414232600000005</v>
      </c>
      <c r="D219" s="172">
        <f t="shared" si="8"/>
        <v>0.2394500162362497</v>
      </c>
    </row>
    <row r="220" spans="2:4" ht="12.75">
      <c r="B220" s="70" t="s">
        <v>134</v>
      </c>
      <c r="C220" s="226">
        <f>I188</f>
        <v>608.5164800000001</v>
      </c>
      <c r="D220" s="172">
        <f t="shared" si="8"/>
        <v>6.2231072657929225</v>
      </c>
    </row>
    <row r="221" spans="2:4" ht="12.75" hidden="1">
      <c r="B221" s="70" t="s">
        <v>135</v>
      </c>
      <c r="C221" s="226">
        <f>E193</f>
        <v>0</v>
      </c>
      <c r="D221" s="172">
        <f t="shared" si="8"/>
        <v>0</v>
      </c>
    </row>
    <row r="222" spans="2:4" ht="12.75">
      <c r="B222" s="70" t="s">
        <v>32</v>
      </c>
      <c r="C222" s="226">
        <f>F202</f>
        <v>652.7375333333334</v>
      </c>
      <c r="D222" s="172">
        <f t="shared" si="8"/>
        <v>6.67534211455114</v>
      </c>
    </row>
    <row r="223" spans="2:4" ht="12.75">
      <c r="B223" s="70" t="s">
        <v>136</v>
      </c>
      <c r="C223" s="226">
        <f>C211</f>
        <v>161.96574999999999</v>
      </c>
      <c r="D223" s="172">
        <f t="shared" si="8"/>
        <v>1.6563729475898497</v>
      </c>
    </row>
    <row r="224" spans="2:4" ht="12.75">
      <c r="B224" s="70" t="s">
        <v>11</v>
      </c>
      <c r="C224" s="226">
        <f>SUM(C216:C223)</f>
        <v>9778.338280377777</v>
      </c>
      <c r="D224" s="226">
        <f>SUM(D216:D223)</f>
        <v>100</v>
      </c>
    </row>
    <row r="225" ht="12.75"/>
    <row r="226" spans="1:86" s="46" customFormat="1" ht="12" customHeight="1">
      <c r="A226" s="218"/>
      <c r="B226" s="46" t="s">
        <v>137</v>
      </c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</row>
    <row r="227" ht="12.75">
      <c r="B227" s="52" t="s">
        <v>75</v>
      </c>
    </row>
    <row r="228" ht="12.75">
      <c r="B228" s="52"/>
    </row>
    <row r="229" spans="1:2" ht="17.25" customHeight="1">
      <c r="A229" s="129" t="s">
        <v>245</v>
      </c>
      <c r="B229" s="62" t="s">
        <v>138</v>
      </c>
    </row>
    <row r="230" spans="2:7" ht="12.75">
      <c r="B230" s="76" t="s">
        <v>344</v>
      </c>
      <c r="C230" s="76" t="s">
        <v>38</v>
      </c>
      <c r="D230" s="76" t="s">
        <v>4</v>
      </c>
      <c r="E230" s="76" t="s">
        <v>39</v>
      </c>
      <c r="F230" s="76" t="s">
        <v>37</v>
      </c>
      <c r="G230" s="76" t="s">
        <v>11</v>
      </c>
    </row>
    <row r="231" spans="2:7" ht="12.75">
      <c r="B231" s="89" t="s">
        <v>140</v>
      </c>
      <c r="C231" s="88"/>
      <c r="D231" s="88"/>
      <c r="E231" s="88"/>
      <c r="F231" s="88"/>
      <c r="G231" s="88"/>
    </row>
    <row r="232" spans="2:7" ht="12.75">
      <c r="B232" s="89" t="s">
        <v>142</v>
      </c>
      <c r="C232" s="88"/>
      <c r="D232" s="88"/>
      <c r="E232" s="88"/>
      <c r="F232" s="88"/>
      <c r="G232" s="88"/>
    </row>
    <row r="233" spans="2:7" ht="12.75">
      <c r="B233" s="89" t="s">
        <v>141</v>
      </c>
      <c r="C233" s="224">
        <f>12*(D52+1)*1.915*0.45*0.15*3</f>
        <v>32.57415</v>
      </c>
      <c r="D233" s="224">
        <f>C233</f>
        <v>32.57415</v>
      </c>
      <c r="E233" s="224">
        <f>D233</f>
        <v>32.57415</v>
      </c>
      <c r="F233" s="224">
        <f>E233</f>
        <v>32.57415</v>
      </c>
      <c r="G233" s="224">
        <f>SUM(C233:F233)</f>
        <v>130.2966</v>
      </c>
    </row>
    <row r="234" spans="2:7" ht="12.75">
      <c r="B234" s="77" t="s">
        <v>139</v>
      </c>
      <c r="C234" s="88"/>
      <c r="D234" s="88"/>
      <c r="E234" s="88"/>
      <c r="F234" s="88"/>
      <c r="G234" s="88"/>
    </row>
    <row r="235" ht="12.75"/>
    <row r="236" spans="1:86" s="46" customFormat="1" ht="12" customHeight="1">
      <c r="A236" s="218"/>
      <c r="B236" s="46" t="s">
        <v>153</v>
      </c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</row>
    <row r="237" ht="12.75">
      <c r="B237" s="52" t="s">
        <v>202</v>
      </c>
    </row>
    <row r="238" ht="12.75">
      <c r="B238" s="52"/>
    </row>
    <row r="239" spans="1:2" ht="15">
      <c r="A239" s="129" t="s">
        <v>246</v>
      </c>
      <c r="B239" s="66" t="s">
        <v>146</v>
      </c>
    </row>
    <row r="240" spans="2:3" ht="25.5">
      <c r="B240" s="76" t="s">
        <v>147</v>
      </c>
      <c r="C240" s="76" t="s">
        <v>80</v>
      </c>
    </row>
    <row r="241" spans="2:3" ht="12.75">
      <c r="B241" s="76" t="s">
        <v>160</v>
      </c>
      <c r="C241" s="94">
        <f>C242+C243+C244</f>
        <v>5000</v>
      </c>
    </row>
    <row r="242" spans="1:3" s="52" customFormat="1" ht="25.5">
      <c r="A242" s="213"/>
      <c r="B242" s="97" t="s">
        <v>148</v>
      </c>
      <c r="C242" s="98">
        <v>5000</v>
      </c>
    </row>
    <row r="243" spans="1:3" s="52" customFormat="1" ht="25.5">
      <c r="A243" s="213"/>
      <c r="B243" s="97" t="s">
        <v>149</v>
      </c>
      <c r="C243" s="98">
        <v>0</v>
      </c>
    </row>
    <row r="244" spans="1:3" s="52" customFormat="1" ht="25.5">
      <c r="A244" s="213"/>
      <c r="B244" s="97" t="s">
        <v>150</v>
      </c>
      <c r="C244" s="98">
        <v>0</v>
      </c>
    </row>
    <row r="245" spans="1:3" s="52" customFormat="1" ht="27" customHeight="1">
      <c r="A245" s="213"/>
      <c r="B245" s="76" t="s">
        <v>161</v>
      </c>
      <c r="C245" s="94">
        <f>C246+C247</f>
        <v>1311.5210000000006</v>
      </c>
    </row>
    <row r="246" spans="1:3" s="52" customFormat="1" ht="12.75">
      <c r="A246" s="213"/>
      <c r="B246" s="97" t="s">
        <v>151</v>
      </c>
      <c r="C246" s="98">
        <f>E202-C242-C247</f>
        <v>311.52100000000064</v>
      </c>
    </row>
    <row r="247" spans="1:3" s="52" customFormat="1" ht="25.5">
      <c r="A247" s="213"/>
      <c r="B247" s="97" t="s">
        <v>162</v>
      </c>
      <c r="C247" s="98">
        <v>1000</v>
      </c>
    </row>
    <row r="248" spans="1:3" s="52" customFormat="1" ht="12.75">
      <c r="A248" s="213"/>
      <c r="B248" s="77" t="s">
        <v>11</v>
      </c>
      <c r="C248" s="94">
        <f>C245+C241</f>
        <v>6311.521000000001</v>
      </c>
    </row>
    <row r="249" ht="12.75">
      <c r="B249" s="52"/>
    </row>
    <row r="250" spans="1:2" s="62" customFormat="1" ht="15">
      <c r="A250" s="156" t="s">
        <v>247</v>
      </c>
      <c r="B250" s="62" t="s">
        <v>152</v>
      </c>
    </row>
    <row r="251" spans="2:4" ht="38.25">
      <c r="B251" s="69" t="s">
        <v>115</v>
      </c>
      <c r="C251" s="69" t="s">
        <v>80</v>
      </c>
      <c r="D251" s="69" t="s">
        <v>143</v>
      </c>
    </row>
    <row r="252" spans="2:5" ht="12.75">
      <c r="B252" s="70" t="s">
        <v>144</v>
      </c>
      <c r="C252" s="91">
        <f>E201</f>
        <v>45</v>
      </c>
      <c r="D252" s="91">
        <f aca="true" t="shared" si="9" ref="D252:D258">C252/$C$259*100</f>
        <v>0.7129818628504919</v>
      </c>
      <c r="E252" s="228"/>
    </row>
    <row r="253" spans="2:4" ht="12.75">
      <c r="B253" s="70" t="s">
        <v>145</v>
      </c>
      <c r="C253" s="91">
        <f>C254+C255+C256</f>
        <v>6176.521000000001</v>
      </c>
      <c r="D253" s="91">
        <f t="shared" si="9"/>
        <v>97.86105441144852</v>
      </c>
    </row>
    <row r="254" spans="1:4" s="52" customFormat="1" ht="12.75">
      <c r="A254" s="213"/>
      <c r="B254" s="92" t="s">
        <v>123</v>
      </c>
      <c r="C254" s="93">
        <f>C65</f>
        <v>4220</v>
      </c>
      <c r="D254" s="93">
        <f t="shared" si="9"/>
        <v>66.86185469397947</v>
      </c>
    </row>
    <row r="255" spans="1:4" s="52" customFormat="1" ht="12.75">
      <c r="A255" s="213"/>
      <c r="B255" s="92" t="s">
        <v>124</v>
      </c>
      <c r="C255" s="93">
        <f>E198</f>
        <v>1894.5210000000006</v>
      </c>
      <c r="D255" s="93">
        <f t="shared" si="9"/>
        <v>30.016869150875046</v>
      </c>
    </row>
    <row r="256" spans="1:4" s="52" customFormat="1" ht="12.75">
      <c r="A256" s="213"/>
      <c r="B256" s="92" t="s">
        <v>288</v>
      </c>
      <c r="C256" s="93">
        <f>E106</f>
        <v>62</v>
      </c>
      <c r="D256" s="93">
        <f t="shared" si="9"/>
        <v>0.9823305665940111</v>
      </c>
    </row>
    <row r="257" spans="2:4" ht="25.5">
      <c r="B257" s="70" t="s">
        <v>345</v>
      </c>
      <c r="C257" s="71">
        <f>E200</f>
        <v>90</v>
      </c>
      <c r="D257" s="91">
        <f t="shared" si="9"/>
        <v>1.4259637257009838</v>
      </c>
    </row>
    <row r="258" spans="2:4" ht="12.75">
      <c r="B258" s="70" t="s">
        <v>346</v>
      </c>
      <c r="C258" s="71">
        <v>0</v>
      </c>
      <c r="D258" s="91">
        <f t="shared" si="9"/>
        <v>0</v>
      </c>
    </row>
    <row r="259" spans="2:4" ht="12.75">
      <c r="B259" s="70" t="s">
        <v>11</v>
      </c>
      <c r="C259" s="91">
        <f>C252+C253+C257+C258</f>
        <v>6311.521000000001</v>
      </c>
      <c r="D259" s="91">
        <f>D252+D253+D257+D258</f>
        <v>100</v>
      </c>
    </row>
    <row r="260" ht="12.75">
      <c r="C260" s="228">
        <f>C254+C255+C256+C257+C252-C259</f>
        <v>0</v>
      </c>
    </row>
    <row r="261" spans="1:2" ht="15">
      <c r="A261" s="129" t="s">
        <v>248</v>
      </c>
      <c r="B261" s="66" t="s">
        <v>154</v>
      </c>
    </row>
    <row r="262" spans="1:2" s="52" customFormat="1" ht="15">
      <c r="A262" s="213"/>
      <c r="B262" s="155" t="s">
        <v>201</v>
      </c>
    </row>
    <row r="263" spans="2:3" ht="15">
      <c r="B263" s="248" t="s">
        <v>158</v>
      </c>
      <c r="C263" s="248"/>
    </row>
    <row r="264" spans="2:3" ht="15">
      <c r="B264" s="96" t="s">
        <v>157</v>
      </c>
      <c r="C264" s="95">
        <v>8</v>
      </c>
    </row>
    <row r="265" spans="2:3" ht="15">
      <c r="B265" s="96" t="s">
        <v>156</v>
      </c>
      <c r="C265" s="95">
        <v>5</v>
      </c>
    </row>
    <row r="266" spans="2:3" ht="15">
      <c r="B266" s="139" t="s">
        <v>159</v>
      </c>
      <c r="C266" s="140">
        <v>3</v>
      </c>
    </row>
    <row r="267" spans="1:7" s="63" customFormat="1" ht="15" customHeight="1">
      <c r="A267" s="129"/>
      <c r="B267" s="249" t="s">
        <v>2</v>
      </c>
      <c r="C267" s="251">
        <f>D33</f>
        <v>2019</v>
      </c>
      <c r="D267" s="251"/>
      <c r="E267" s="251"/>
      <c r="F267" s="251"/>
      <c r="G267" s="251"/>
    </row>
    <row r="268" spans="1:7" s="63" customFormat="1" ht="15" customHeight="1">
      <c r="A268" s="129"/>
      <c r="B268" s="250"/>
      <c r="C268" s="128" t="s">
        <v>25</v>
      </c>
      <c r="D268" s="128" t="s">
        <v>177</v>
      </c>
      <c r="E268" s="128" t="s">
        <v>26</v>
      </c>
      <c r="F268" s="128" t="s">
        <v>27</v>
      </c>
      <c r="G268" s="244" t="s">
        <v>11</v>
      </c>
    </row>
    <row r="269" spans="1:26" s="63" customFormat="1" ht="15">
      <c r="A269" s="129"/>
      <c r="B269" s="96" t="s">
        <v>178</v>
      </c>
      <c r="C269" s="141">
        <f>SUM($C$128:$E$128)</f>
        <v>90</v>
      </c>
      <c r="D269" s="141">
        <f>SUM($F$128:$H$128)</f>
        <v>91</v>
      </c>
      <c r="E269" s="141">
        <f>SUM($I$128:$K$128)</f>
        <v>92</v>
      </c>
      <c r="F269" s="141">
        <f>SUM($L$128:$N$128)</f>
        <v>92</v>
      </c>
      <c r="G269" s="245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7" s="63" customFormat="1" ht="15">
      <c r="A270" s="129"/>
      <c r="B270" s="96" t="s">
        <v>155</v>
      </c>
      <c r="C270" s="142">
        <f>IF(D35=1,C241,0)</f>
        <v>5000</v>
      </c>
      <c r="D270" s="142">
        <f>IF(D35&lt;3,C241-C272,0)</f>
        <v>5000</v>
      </c>
      <c r="E270" s="142">
        <f>IF(E35&lt;3,C241-D272-C272,0)</f>
        <v>4787.070310227961</v>
      </c>
      <c r="F270" s="142">
        <f>IF($F$35&lt;4,$C$241-$E$272-$D$272-$C$272,0)</f>
        <v>4570.942914930656</v>
      </c>
      <c r="G270" s="146" t="s">
        <v>36</v>
      </c>
    </row>
    <row r="271" spans="1:7" s="63" customFormat="1" ht="15">
      <c r="A271" s="129"/>
      <c r="B271" s="96" t="s">
        <v>176</v>
      </c>
      <c r="C271" s="142">
        <f>C270*$C$264%/365*C269</f>
        <v>98.63013698630137</v>
      </c>
      <c r="D271" s="142">
        <f>D270*$C$264%/365*D269</f>
        <v>99.72602739726027</v>
      </c>
      <c r="E271" s="142">
        <f>E270*$C$264%/365*E269</f>
        <v>96.52832187199395</v>
      </c>
      <c r="F271" s="142">
        <f>F270*$C$264%/365*F269</f>
        <v>92.17024617504008</v>
      </c>
      <c r="G271" s="142">
        <f>SUM(C271:F271)</f>
        <v>387.05473243059566</v>
      </c>
    </row>
    <row r="272" spans="1:7" s="63" customFormat="1" ht="15">
      <c r="A272" s="129"/>
      <c r="B272" s="96" t="s">
        <v>29</v>
      </c>
      <c r="C272" s="142">
        <v>0</v>
      </c>
      <c r="D272" s="142">
        <f>D273-D271</f>
        <v>212.929689772039</v>
      </c>
      <c r="E272" s="142">
        <f>E273-E271</f>
        <v>216.12739529730533</v>
      </c>
      <c r="F272" s="142">
        <f>F273-F271</f>
        <v>220.48547099425923</v>
      </c>
      <c r="G272" s="142">
        <f>SUM(C272:F272)</f>
        <v>649.5425560636036</v>
      </c>
    </row>
    <row r="273" spans="1:7" s="63" customFormat="1" ht="15">
      <c r="A273" s="129"/>
      <c r="B273" s="96" t="s">
        <v>28</v>
      </c>
      <c r="C273" s="142">
        <f>IF($C$266&lt;=3,C271,C280)</f>
        <v>98.63013698630137</v>
      </c>
      <c r="D273" s="142">
        <f>IF(D270=0,0,IF($C$266&gt;3&lt;6,D271,D280))</f>
        <v>312.6557171692993</v>
      </c>
      <c r="E273" s="142">
        <f>IF($C$266&gt;6&lt;9,E271,D280)</f>
        <v>312.6557171692993</v>
      </c>
      <c r="F273" s="142">
        <f>IF($C$266&gt;12&lt;9,F271,C280)</f>
        <v>312.6557171692993</v>
      </c>
      <c r="G273" s="142">
        <f>SUM(C273:F273)</f>
        <v>1036.5972884941993</v>
      </c>
    </row>
    <row r="274" spans="1:7" s="63" customFormat="1" ht="15" customHeight="1">
      <c r="A274" s="129"/>
      <c r="B274" s="249" t="s">
        <v>2</v>
      </c>
      <c r="C274" s="256">
        <f>C267+1</f>
        <v>2020</v>
      </c>
      <c r="D274" s="257"/>
      <c r="E274" s="257"/>
      <c r="F274" s="257"/>
      <c r="G274" s="258"/>
    </row>
    <row r="275" spans="1:7" s="63" customFormat="1" ht="15" customHeight="1">
      <c r="A275" s="129"/>
      <c r="B275" s="250"/>
      <c r="C275" s="128" t="s">
        <v>25</v>
      </c>
      <c r="D275" s="128" t="s">
        <v>177</v>
      </c>
      <c r="E275" s="128" t="s">
        <v>26</v>
      </c>
      <c r="F275" s="128" t="s">
        <v>27</v>
      </c>
      <c r="G275" s="244" t="s">
        <v>11</v>
      </c>
    </row>
    <row r="276" spans="1:7" s="63" customFormat="1" ht="15">
      <c r="A276" s="129"/>
      <c r="B276" s="96" t="s">
        <v>178</v>
      </c>
      <c r="C276" s="144">
        <f>SUM($C$128:$E$128)</f>
        <v>90</v>
      </c>
      <c r="D276" s="144">
        <f>SUM($F$128:$H$128)</f>
        <v>91</v>
      </c>
      <c r="E276" s="144">
        <f>SUM($I$128:$K$128)</f>
        <v>92</v>
      </c>
      <c r="F276" s="144">
        <f>SUM($L$128:$N$128)</f>
        <v>92</v>
      </c>
      <c r="G276" s="245"/>
    </row>
    <row r="277" spans="1:7" s="63" customFormat="1" ht="15">
      <c r="A277" s="129"/>
      <c r="B277" s="96" t="s">
        <v>155</v>
      </c>
      <c r="C277" s="142">
        <f>IF($F$35&lt;5,C241-F272-E272-D272-C272,0)</f>
        <v>4350.457443936397</v>
      </c>
      <c r="D277" s="142">
        <f>C277-C279</f>
        <v>4123.618969496802</v>
      </c>
      <c r="E277" s="142">
        <f>D277-D279</f>
        <v>3893.2096799930823</v>
      </c>
      <c r="F277" s="142">
        <f>E277-E279</f>
        <v>3659.058136097068</v>
      </c>
      <c r="G277" s="146" t="s">
        <v>36</v>
      </c>
    </row>
    <row r="278" spans="1:7" s="63" customFormat="1" ht="15">
      <c r="A278" s="129"/>
      <c r="B278" s="96" t="s">
        <v>176</v>
      </c>
      <c r="C278" s="142">
        <f>C277*$C$264%/365*C276</f>
        <v>85.81724272970428</v>
      </c>
      <c r="D278" s="142">
        <f>D277*$C$264%/365*D276</f>
        <v>82.24642766558004</v>
      </c>
      <c r="E278" s="142">
        <f>E277*$C$264%/365*E276</f>
        <v>78.50417327328516</v>
      </c>
      <c r="F278" s="142">
        <f>F277*$C$264%/365*F276</f>
        <v>73.78265173061486</v>
      </c>
      <c r="G278" s="142">
        <f>SUM(C278:F278)</f>
        <v>320.35049539918435</v>
      </c>
    </row>
    <row r="279" spans="1:7" s="63" customFormat="1" ht="15">
      <c r="A279" s="129"/>
      <c r="B279" s="96" t="s">
        <v>29</v>
      </c>
      <c r="C279" s="142">
        <f>C280-C278</f>
        <v>226.83847443959502</v>
      </c>
      <c r="D279" s="142">
        <f>D280-D278</f>
        <v>230.40928950371926</v>
      </c>
      <c r="E279" s="142">
        <f>E280-E278</f>
        <v>234.15154389601412</v>
      </c>
      <c r="F279" s="142">
        <f>F280-F278</f>
        <v>238.87306543868442</v>
      </c>
      <c r="G279" s="142">
        <f>SUM(C279:F279)</f>
        <v>930.2723732780129</v>
      </c>
    </row>
    <row r="280" spans="1:7" s="63" customFormat="1" ht="15">
      <c r="A280" s="129"/>
      <c r="B280" s="96" t="s">
        <v>28</v>
      </c>
      <c r="C280" s="145">
        <f>PMT($C$264%/4,($C$265*12-C266)/3,(-C241),0,1)</f>
        <v>312.6557171692993</v>
      </c>
      <c r="D280" s="142">
        <f>C280</f>
        <v>312.6557171692993</v>
      </c>
      <c r="E280" s="142">
        <f>D280</f>
        <v>312.6557171692993</v>
      </c>
      <c r="F280" s="142">
        <f>E280</f>
        <v>312.6557171692993</v>
      </c>
      <c r="G280" s="142">
        <f>SUM(C280:F280)</f>
        <v>1250.6228686771972</v>
      </c>
    </row>
    <row r="281" spans="1:7" s="63" customFormat="1" ht="12.75">
      <c r="A281" s="129"/>
      <c r="B281" s="249" t="s">
        <v>2</v>
      </c>
      <c r="C281" s="251">
        <f>C274+1</f>
        <v>2021</v>
      </c>
      <c r="D281" s="251"/>
      <c r="E281" s="251"/>
      <c r="F281" s="251"/>
      <c r="G281" s="143"/>
    </row>
    <row r="282" spans="1:7" s="63" customFormat="1" ht="12.75">
      <c r="A282" s="129"/>
      <c r="B282" s="250"/>
      <c r="C282" s="128" t="s">
        <v>25</v>
      </c>
      <c r="D282" s="128" t="s">
        <v>177</v>
      </c>
      <c r="E282" s="128" t="s">
        <v>26</v>
      </c>
      <c r="F282" s="128" t="s">
        <v>27</v>
      </c>
      <c r="G282" s="244" t="s">
        <v>11</v>
      </c>
    </row>
    <row r="283" spans="1:7" s="63" customFormat="1" ht="15">
      <c r="A283" s="129"/>
      <c r="B283" s="96" t="s">
        <v>178</v>
      </c>
      <c r="C283" s="144">
        <f>SUM($C$128:$E$128)</f>
        <v>90</v>
      </c>
      <c r="D283" s="144">
        <f>SUM($F$128:$H$128)</f>
        <v>91</v>
      </c>
      <c r="E283" s="144">
        <f>SUM($I$128:$K$128)</f>
        <v>92</v>
      </c>
      <c r="F283" s="144">
        <f>SUM($L$128:$N$128)</f>
        <v>92</v>
      </c>
      <c r="G283" s="245"/>
    </row>
    <row r="284" spans="1:7" s="63" customFormat="1" ht="15">
      <c r="A284" s="129"/>
      <c r="B284" s="96" t="s">
        <v>155</v>
      </c>
      <c r="C284" s="142">
        <f>F277-F279</f>
        <v>3420.1850706583837</v>
      </c>
      <c r="D284" s="142">
        <f>C284-C286</f>
        <v>3174.996017896592</v>
      </c>
      <c r="E284" s="142">
        <f>D284-D286</f>
        <v>2925.6662487006824</v>
      </c>
      <c r="F284" s="142">
        <f>E284-E286</f>
        <v>2672.004787943539</v>
      </c>
      <c r="G284" s="146" t="s">
        <v>36</v>
      </c>
    </row>
    <row r="285" spans="1:7" s="63" customFormat="1" ht="15">
      <c r="A285" s="129"/>
      <c r="B285" s="96" t="s">
        <v>176</v>
      </c>
      <c r="C285" s="142">
        <f>C284*$C$264%/365*C283</f>
        <v>67.46666440750785</v>
      </c>
      <c r="D285" s="142">
        <f>D284*$C$264%/365*D283</f>
        <v>63.32594797338956</v>
      </c>
      <c r="E285" s="142">
        <f>E284*$C$264%/365*E283</f>
        <v>58.99425641215623</v>
      </c>
      <c r="F285" s="142">
        <f>F284*$C$264%/365*F283</f>
        <v>53.87932942264232</v>
      </c>
      <c r="G285" s="142">
        <f>SUM(C285:F285)</f>
        <v>243.66619821569597</v>
      </c>
    </row>
    <row r="286" spans="1:7" s="63" customFormat="1" ht="15">
      <c r="A286" s="129"/>
      <c r="B286" s="96" t="s">
        <v>29</v>
      </c>
      <c r="C286" s="142">
        <f>C287-C285</f>
        <v>245.18905276179146</v>
      </c>
      <c r="D286" s="142">
        <f>D287-D285</f>
        <v>249.32976919590973</v>
      </c>
      <c r="E286" s="142">
        <f>E287-E285</f>
        <v>253.66146075714306</v>
      </c>
      <c r="F286" s="142">
        <f>F287-F285</f>
        <v>258.77638774665695</v>
      </c>
      <c r="G286" s="142">
        <f>SUM(C286:F286)</f>
        <v>1006.9566704615012</v>
      </c>
    </row>
    <row r="287" spans="1:7" s="63" customFormat="1" ht="15">
      <c r="A287" s="129"/>
      <c r="B287" s="96" t="s">
        <v>28</v>
      </c>
      <c r="C287" s="142">
        <f>F280</f>
        <v>312.6557171692993</v>
      </c>
      <c r="D287" s="142">
        <f>C287</f>
        <v>312.6557171692993</v>
      </c>
      <c r="E287" s="142">
        <f>D287</f>
        <v>312.6557171692993</v>
      </c>
      <c r="F287" s="142">
        <f>E287</f>
        <v>312.6557171692993</v>
      </c>
      <c r="G287" s="142">
        <f>SUM(C287:F287)</f>
        <v>1250.6228686771972</v>
      </c>
    </row>
    <row r="288" spans="1:7" s="63" customFormat="1" ht="12.75">
      <c r="A288" s="129"/>
      <c r="B288" s="249" t="s">
        <v>2</v>
      </c>
      <c r="C288" s="251">
        <f>C281+1</f>
        <v>2022</v>
      </c>
      <c r="D288" s="251"/>
      <c r="E288" s="251"/>
      <c r="F288" s="251"/>
      <c r="G288" s="143"/>
    </row>
    <row r="289" spans="1:7" s="63" customFormat="1" ht="12.75">
      <c r="A289" s="129"/>
      <c r="B289" s="250"/>
      <c r="C289" s="128" t="s">
        <v>25</v>
      </c>
      <c r="D289" s="128" t="s">
        <v>177</v>
      </c>
      <c r="E289" s="128" t="s">
        <v>26</v>
      </c>
      <c r="F289" s="128" t="s">
        <v>27</v>
      </c>
      <c r="G289" s="244" t="s">
        <v>11</v>
      </c>
    </row>
    <row r="290" spans="1:7" s="63" customFormat="1" ht="15">
      <c r="A290" s="129"/>
      <c r="B290" s="96" t="s">
        <v>178</v>
      </c>
      <c r="C290" s="144">
        <f>SUM($C$128:$E$128)</f>
        <v>90</v>
      </c>
      <c r="D290" s="144">
        <f>SUM($F$128:$H$128)</f>
        <v>91</v>
      </c>
      <c r="E290" s="144">
        <f>SUM($I$128:$K$128)</f>
        <v>92</v>
      </c>
      <c r="F290" s="144">
        <f>SUM($L$128:$N$128)</f>
        <v>92</v>
      </c>
      <c r="G290" s="245"/>
    </row>
    <row r="291" spans="1:7" s="63" customFormat="1" ht="15">
      <c r="A291" s="129"/>
      <c r="B291" s="96" t="s">
        <v>155</v>
      </c>
      <c r="C291" s="142">
        <f>F284-F286</f>
        <v>2413.2284001968824</v>
      </c>
      <c r="D291" s="142">
        <f>C291-C293</f>
        <v>2148.1760925657136</v>
      </c>
      <c r="E291" s="142">
        <f>D291-D293</f>
        <v>1878.366188968684</v>
      </c>
      <c r="F291" s="142">
        <f>E291-E293</f>
        <v>1603.5865681029723</v>
      </c>
      <c r="G291" s="146" t="s">
        <v>36</v>
      </c>
    </row>
    <row r="292" spans="1:7" s="63" customFormat="1" ht="15">
      <c r="A292" s="129"/>
      <c r="B292" s="96" t="s">
        <v>176</v>
      </c>
      <c r="C292" s="142">
        <f>C291*$C$264%/365*C290</f>
        <v>47.603409538130286</v>
      </c>
      <c r="D292" s="142">
        <f>D291*$C$264%/365*D290</f>
        <v>42.84581357226958</v>
      </c>
      <c r="E292" s="142">
        <f>E291*$C$264%/365*E290</f>
        <v>37.87609630358771</v>
      </c>
      <c r="F292" s="142">
        <f>F291*$C$264%/365*F290</f>
        <v>32.335334633528426</v>
      </c>
      <c r="G292" s="142">
        <f>SUM(C292:F292)</f>
        <v>160.66065404751598</v>
      </c>
    </row>
    <row r="293" spans="1:7" s="63" customFormat="1" ht="15">
      <c r="A293" s="129"/>
      <c r="B293" s="96" t="s">
        <v>29</v>
      </c>
      <c r="C293" s="142">
        <f>C294-C292</f>
        <v>265.052307631169</v>
      </c>
      <c r="D293" s="142">
        <f>D294-D292</f>
        <v>269.8099035970297</v>
      </c>
      <c r="E293" s="142">
        <f>E294-E292</f>
        <v>274.7796208657116</v>
      </c>
      <c r="F293" s="142">
        <f>F294-F292</f>
        <v>280.3203825357709</v>
      </c>
      <c r="G293" s="142">
        <f>SUM(C293:F293)</f>
        <v>1089.9622146296813</v>
      </c>
    </row>
    <row r="294" spans="1:7" s="63" customFormat="1" ht="15">
      <c r="A294" s="129"/>
      <c r="B294" s="96" t="s">
        <v>28</v>
      </c>
      <c r="C294" s="142">
        <f>F287</f>
        <v>312.6557171692993</v>
      </c>
      <c r="D294" s="142">
        <f>C294</f>
        <v>312.6557171692993</v>
      </c>
      <c r="E294" s="142">
        <f>D294</f>
        <v>312.6557171692993</v>
      </c>
      <c r="F294" s="142">
        <f>E294</f>
        <v>312.6557171692993</v>
      </c>
      <c r="G294" s="142">
        <f>SUM(C294:F294)</f>
        <v>1250.6228686771972</v>
      </c>
    </row>
    <row r="295" spans="1:7" s="63" customFormat="1" ht="12.75">
      <c r="A295" s="129"/>
      <c r="B295" s="249" t="s">
        <v>2</v>
      </c>
      <c r="C295" s="251">
        <f>C288+1</f>
        <v>2023</v>
      </c>
      <c r="D295" s="251"/>
      <c r="E295" s="251"/>
      <c r="F295" s="251"/>
      <c r="G295" s="143"/>
    </row>
    <row r="296" spans="1:7" s="63" customFormat="1" ht="12.75">
      <c r="A296" s="129"/>
      <c r="B296" s="250"/>
      <c r="C296" s="128" t="s">
        <v>25</v>
      </c>
      <c r="D296" s="128" t="s">
        <v>177</v>
      </c>
      <c r="E296" s="128" t="s">
        <v>26</v>
      </c>
      <c r="F296" s="128" t="s">
        <v>27</v>
      </c>
      <c r="G296" s="244" t="s">
        <v>11</v>
      </c>
    </row>
    <row r="297" spans="1:7" s="63" customFormat="1" ht="15">
      <c r="A297" s="129"/>
      <c r="B297" s="96" t="s">
        <v>178</v>
      </c>
      <c r="C297" s="144">
        <f>SUM($C$128:$E$128)</f>
        <v>90</v>
      </c>
      <c r="D297" s="144">
        <f>SUM($F$128:$H$128)</f>
        <v>91</v>
      </c>
      <c r="E297" s="144">
        <f>SUM($I$128:$K$128)</f>
        <v>92</v>
      </c>
      <c r="F297" s="144">
        <f>SUM($L$128:$N$128)</f>
        <v>92</v>
      </c>
      <c r="G297" s="245"/>
    </row>
    <row r="298" spans="1:7" s="63" customFormat="1" ht="15">
      <c r="A298" s="129"/>
      <c r="B298" s="96" t="s">
        <v>155</v>
      </c>
      <c r="C298" s="142">
        <f>F291-F293</f>
        <v>1323.2661855672013</v>
      </c>
      <c r="D298" s="142">
        <f>C298-C300</f>
        <v>1036.7132534282687</v>
      </c>
      <c r="E298" s="142">
        <f>D298-D300</f>
        <v>744.7349951218674</v>
      </c>
      <c r="F298" s="142">
        <f>E298-E300</f>
        <v>447.0964000459844</v>
      </c>
      <c r="G298" s="146" t="s">
        <v>36</v>
      </c>
    </row>
    <row r="299" spans="1:7" s="63" customFormat="1" ht="15">
      <c r="A299" s="129"/>
      <c r="B299" s="96" t="s">
        <v>176</v>
      </c>
      <c r="C299" s="142">
        <f>C298*$C$264%/365*C297</f>
        <v>26.102785030366714</v>
      </c>
      <c r="D299" s="142">
        <f>D298*$C$264%/365*D297</f>
        <v>20.67745886289807</v>
      </c>
      <c r="E299" s="142">
        <f>E298*$C$264%/365*E297</f>
        <v>15.017122093416285</v>
      </c>
      <c r="F299" s="142">
        <f>F298*$C$264%/365*F297</f>
        <v>9.015423299557384</v>
      </c>
      <c r="G299" s="142">
        <f>SUM(C299:F299)</f>
        <v>70.81278928623846</v>
      </c>
    </row>
    <row r="300" spans="1:7" s="63" customFormat="1" ht="15">
      <c r="A300" s="129"/>
      <c r="B300" s="96" t="s">
        <v>29</v>
      </c>
      <c r="C300" s="142">
        <f>C301-C299</f>
        <v>286.5529321389326</v>
      </c>
      <c r="D300" s="142">
        <f>D301-D299</f>
        <v>291.97825830640124</v>
      </c>
      <c r="E300" s="142">
        <f>E301-E299</f>
        <v>297.638595075883</v>
      </c>
      <c r="F300" s="142">
        <f>IF(C270&gt;0,F298,F301-F299)</f>
        <v>447.0964000459844</v>
      </c>
      <c r="G300" s="142">
        <f>SUM(C300:F300)</f>
        <v>1323.2661855672013</v>
      </c>
    </row>
    <row r="301" spans="1:7" s="63" customFormat="1" ht="15">
      <c r="A301" s="129"/>
      <c r="B301" s="96" t="s">
        <v>28</v>
      </c>
      <c r="C301" s="142">
        <f>F294</f>
        <v>312.6557171692993</v>
      </c>
      <c r="D301" s="142">
        <f>C301</f>
        <v>312.6557171692993</v>
      </c>
      <c r="E301" s="142">
        <f>D301</f>
        <v>312.6557171692993</v>
      </c>
      <c r="F301" s="142">
        <f>IF(F300=F298,F299+F300,E301)</f>
        <v>456.1118233455418</v>
      </c>
      <c r="G301" s="142">
        <f>SUM(C301:F301)</f>
        <v>1394.0789748534396</v>
      </c>
    </row>
    <row r="302" spans="1:7" s="63" customFormat="1" ht="12.75">
      <c r="A302" s="129"/>
      <c r="B302" s="249" t="s">
        <v>2</v>
      </c>
      <c r="C302" s="251">
        <f>C295+1</f>
        <v>2024</v>
      </c>
      <c r="D302" s="251"/>
      <c r="E302" s="251"/>
      <c r="F302" s="251"/>
      <c r="G302" s="143"/>
    </row>
    <row r="303" spans="1:7" s="63" customFormat="1" ht="12.75">
      <c r="A303" s="129"/>
      <c r="B303" s="250"/>
      <c r="C303" s="128" t="s">
        <v>25</v>
      </c>
      <c r="D303" s="128" t="s">
        <v>177</v>
      </c>
      <c r="E303" s="128" t="s">
        <v>26</v>
      </c>
      <c r="F303" s="128" t="s">
        <v>27</v>
      </c>
      <c r="G303" s="244" t="s">
        <v>11</v>
      </c>
    </row>
    <row r="304" spans="1:7" s="63" customFormat="1" ht="15">
      <c r="A304" s="129"/>
      <c r="B304" s="96" t="s">
        <v>178</v>
      </c>
      <c r="C304" s="144">
        <f>SUM($C$128:$E$128)</f>
        <v>90</v>
      </c>
      <c r="D304" s="144">
        <f>SUM($F$128:$H$128)</f>
        <v>91</v>
      </c>
      <c r="E304" s="144">
        <f>SUM($I$128:$K$128)</f>
        <v>92</v>
      </c>
      <c r="F304" s="144">
        <f>SUM($L$128:$N$128)</f>
        <v>92</v>
      </c>
      <c r="G304" s="245"/>
    </row>
    <row r="305" spans="1:7" s="63" customFormat="1" ht="15">
      <c r="A305" s="129"/>
      <c r="B305" s="96" t="s">
        <v>155</v>
      </c>
      <c r="C305" s="142">
        <f>F298-F300</f>
        <v>0</v>
      </c>
      <c r="D305" s="142">
        <f>C305-C307</f>
        <v>0</v>
      </c>
      <c r="E305" s="142">
        <f>D305-D307</f>
        <v>0</v>
      </c>
      <c r="F305" s="142">
        <f>E305-E307</f>
        <v>0</v>
      </c>
      <c r="G305" s="146" t="s">
        <v>36</v>
      </c>
    </row>
    <row r="306" spans="1:7" s="63" customFormat="1" ht="15">
      <c r="A306" s="129"/>
      <c r="B306" s="96" t="s">
        <v>176</v>
      </c>
      <c r="C306" s="142">
        <f>C305*$C$264%/365*C304</f>
        <v>0</v>
      </c>
      <c r="D306" s="142">
        <f>C305*$C$264%/365*D304</f>
        <v>0</v>
      </c>
      <c r="E306" s="142">
        <f>D305*$C$264%/365*E304</f>
        <v>0</v>
      </c>
      <c r="F306" s="142">
        <f>E305*$C$264%/365*F304</f>
        <v>0</v>
      </c>
      <c r="G306" s="142">
        <f>SUM(C306:F306)</f>
        <v>0</v>
      </c>
    </row>
    <row r="307" spans="1:7" s="63" customFormat="1" ht="15">
      <c r="A307" s="129"/>
      <c r="B307" s="96" t="s">
        <v>29</v>
      </c>
      <c r="C307" s="142">
        <f>IF(D270&gt;0,C305,C308-C306)</f>
        <v>0</v>
      </c>
      <c r="D307" s="142">
        <f>IF(E270&gt;0,D305,D308-D306)</f>
        <v>0</v>
      </c>
      <c r="E307" s="142">
        <f>IF(F270&gt;0,E305,E308-E306)</f>
        <v>0</v>
      </c>
      <c r="F307" s="142">
        <f>IF(C277&gt;0,F305,F308-F306)</f>
        <v>0</v>
      </c>
      <c r="G307" s="142">
        <f>SUM(C307:F307)</f>
        <v>0</v>
      </c>
    </row>
    <row r="308" spans="1:7" s="63" customFormat="1" ht="15">
      <c r="A308" s="129"/>
      <c r="B308" s="96" t="s">
        <v>28</v>
      </c>
      <c r="C308" s="142">
        <f>IF(C307=C305,C306+C307,B308)</f>
        <v>0</v>
      </c>
      <c r="D308" s="142">
        <f>IF(D307=D305,D306+D307,C308)</f>
        <v>0</v>
      </c>
      <c r="E308" s="142">
        <f>IF(E307=E305,E306+E307,D308)</f>
        <v>0</v>
      </c>
      <c r="F308" s="142">
        <f>IF(F307=F305,F306+F307,E308)</f>
        <v>0</v>
      </c>
      <c r="G308" s="142">
        <f>SUM(C308:F308)</f>
        <v>0</v>
      </c>
    </row>
    <row r="309" spans="2:3" ht="15">
      <c r="B309" s="96" t="s">
        <v>179</v>
      </c>
      <c r="C309" s="138">
        <f>G306+G299+G292+G285+G278+G271</f>
        <v>1182.5448693792305</v>
      </c>
    </row>
    <row r="310" spans="2:3" ht="15">
      <c r="B310" s="96" t="s">
        <v>180</v>
      </c>
      <c r="C310" s="138">
        <f>G307+G300+G293+G286+G279+G272</f>
        <v>5000</v>
      </c>
    </row>
    <row r="311" spans="2:3" ht="15">
      <c r="B311" s="96" t="s">
        <v>28</v>
      </c>
      <c r="C311" s="138">
        <f>G308+G301+G294+G287+G280+G273</f>
        <v>6182.5448693792305</v>
      </c>
    </row>
    <row r="313" spans="1:86" s="46" customFormat="1" ht="12" customHeight="1">
      <c r="A313" s="218"/>
      <c r="B313" s="46" t="s">
        <v>200</v>
      </c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</row>
    <row r="314" ht="12.75">
      <c r="B314" s="52" t="s">
        <v>225</v>
      </c>
    </row>
    <row r="316" spans="1:2" s="63" customFormat="1" ht="12.75">
      <c r="A316" s="129" t="s">
        <v>249</v>
      </c>
      <c r="B316" s="63" t="s">
        <v>207</v>
      </c>
    </row>
    <row r="317" spans="1:8" s="158" customFormat="1" ht="12.75">
      <c r="A317" s="157"/>
      <c r="B317" s="159" t="s">
        <v>2</v>
      </c>
      <c r="C317" s="159">
        <f>'приложение 1'!B7</f>
        <v>2019</v>
      </c>
      <c r="D317" s="159">
        <f>C317+1</f>
        <v>2020</v>
      </c>
      <c r="E317" s="159">
        <f>D317+1</f>
        <v>2021</v>
      </c>
      <c r="F317" s="159">
        <f>E317+1</f>
        <v>2022</v>
      </c>
      <c r="G317" s="159">
        <f>F317+1</f>
        <v>2023</v>
      </c>
      <c r="H317" s="159">
        <f>G317+1</f>
        <v>2024</v>
      </c>
    </row>
    <row r="318" spans="1:8" s="158" customFormat="1" ht="12.75">
      <c r="A318" s="157"/>
      <c r="B318" s="160" t="str">
        <f>'приложение 1'!A12</f>
        <v>Выручка </v>
      </c>
      <c r="C318" s="169">
        <f>'приложение 1'!B12</f>
        <v>13266.588499999998</v>
      </c>
      <c r="D318" s="169">
        <f>'приложение 1'!G12</f>
        <v>17809.135575</v>
      </c>
      <c r="E318" s="169">
        <f>'приложение 1'!L12</f>
        <v>18699.59235375</v>
      </c>
      <c r="F318" s="169">
        <f>'приложение 1'!Q12</f>
        <v>19634.5719714375</v>
      </c>
      <c r="G318" s="169">
        <f>'приложение 1'!V12</f>
        <v>20616.30057000937</v>
      </c>
      <c r="H318" s="169">
        <f>'приложение 1'!AA12</f>
        <v>0</v>
      </c>
    </row>
    <row r="319" spans="1:8" s="158" customFormat="1" ht="12.75">
      <c r="A319" s="157"/>
      <c r="B319" s="160" t="str">
        <f>'приложение 1'!A13</f>
        <v>Переменные расходы</v>
      </c>
      <c r="C319" s="169">
        <f>'приложение 1'!B13</f>
        <v>241.32051704444444</v>
      </c>
      <c r="D319" s="169">
        <f>'приложение 1'!G13</f>
        <v>241.3205170444444</v>
      </c>
      <c r="E319" s="169">
        <f>'приложение 1'!L13</f>
        <v>253.38654289666664</v>
      </c>
      <c r="F319" s="169">
        <f>'приложение 1'!Q13</f>
        <v>266.0558700415</v>
      </c>
      <c r="G319" s="169">
        <f>'приложение 1'!V13</f>
        <v>279.35866354357495</v>
      </c>
      <c r="H319" s="169">
        <f>'приложение 1'!AA13</f>
        <v>0</v>
      </c>
    </row>
    <row r="320" spans="1:8" s="158" customFormat="1" ht="12.75">
      <c r="A320" s="157"/>
      <c r="B320" s="160" t="str">
        <f>'приложение 1'!A18</f>
        <v>Валовая прибыль</v>
      </c>
      <c r="C320" s="169">
        <f aca="true" t="shared" si="10" ref="C320:H320">C318-C319</f>
        <v>13025.267982955553</v>
      </c>
      <c r="D320" s="169">
        <f t="shared" si="10"/>
        <v>17567.815057955555</v>
      </c>
      <c r="E320" s="169">
        <f t="shared" si="10"/>
        <v>18446.20581085333</v>
      </c>
      <c r="F320" s="169">
        <f t="shared" si="10"/>
        <v>19368.516101396002</v>
      </c>
      <c r="G320" s="169">
        <f t="shared" si="10"/>
        <v>20336.941906465796</v>
      </c>
      <c r="H320" s="169">
        <f t="shared" si="10"/>
        <v>0</v>
      </c>
    </row>
    <row r="321" spans="1:8" s="158" customFormat="1" ht="12.75">
      <c r="A321" s="157"/>
      <c r="B321" s="160" t="str">
        <f>'приложение 1'!A19</f>
        <v>Постоянные расходы</v>
      </c>
      <c r="C321" s="169">
        <f>'приложение 1'!B19+'приложение 1'!B28</f>
        <v>7819.985859277628</v>
      </c>
      <c r="D321" s="169">
        <f>'приложение 1'!G19+'приложение 1'!G28</f>
        <v>8663.542658732518</v>
      </c>
      <c r="E321" s="169">
        <f>'приложение 1'!L19+'приложение 1'!L28</f>
        <v>8586.85836154903</v>
      </c>
      <c r="F321" s="169">
        <f>'приложение 1'!Q19+'приложение 1'!Q28</f>
        <v>8503.85281738085</v>
      </c>
      <c r="G321" s="169">
        <f>'приложение 1'!V19+'приложение 1'!V28</f>
        <v>8414.00495261957</v>
      </c>
      <c r="H321" s="169">
        <f>'приложение 1'!AA19</f>
        <v>0</v>
      </c>
    </row>
    <row r="322" spans="1:8" s="158" customFormat="1" ht="29.25" customHeight="1">
      <c r="A322" s="157"/>
      <c r="B322" s="160" t="s">
        <v>208</v>
      </c>
      <c r="C322" s="169">
        <f>C321/(C320/C318)</f>
        <v>7964.867564077142</v>
      </c>
      <c r="D322" s="169">
        <f>D321/(D320/D318)</f>
        <v>8782.549523669612</v>
      </c>
      <c r="E322" s="169">
        <f>E321/(E320/E318)</f>
        <v>8704.81185165354</v>
      </c>
      <c r="F322" s="169">
        <f>F321/(F320/F318)</f>
        <v>8620.666100762432</v>
      </c>
      <c r="G322" s="169">
        <f>G321/(G320/G318)</f>
        <v>8529.584039653571</v>
      </c>
      <c r="H322" s="169">
        <f>IF(H318=0,0,H321/(H320/H318))</f>
        <v>0</v>
      </c>
    </row>
    <row r="323" spans="1:8" s="158" customFormat="1" ht="12.75">
      <c r="A323" s="157"/>
      <c r="B323" s="160" t="s">
        <v>209</v>
      </c>
      <c r="C323" s="169">
        <f aca="true" t="shared" si="11" ref="C323:H323">C318-C322</f>
        <v>5301.720935922856</v>
      </c>
      <c r="D323" s="169">
        <f t="shared" si="11"/>
        <v>9026.586051330389</v>
      </c>
      <c r="E323" s="169">
        <f t="shared" si="11"/>
        <v>9994.780502096459</v>
      </c>
      <c r="F323" s="169">
        <f t="shared" si="11"/>
        <v>11013.90587067507</v>
      </c>
      <c r="G323" s="169">
        <f t="shared" si="11"/>
        <v>12086.7165303558</v>
      </c>
      <c r="H323" s="169">
        <f t="shared" si="11"/>
        <v>0</v>
      </c>
    </row>
    <row r="324" spans="1:8" s="158" customFormat="1" ht="25.5">
      <c r="A324" s="157"/>
      <c r="B324" s="160" t="s">
        <v>210</v>
      </c>
      <c r="C324" s="170">
        <f>100-C322*100/C318</f>
        <v>39.96295608266478</v>
      </c>
      <c r="D324" s="170">
        <f>100-D322*100/D318</f>
        <v>50.68514422452752</v>
      </c>
      <c r="E324" s="170">
        <f>100-E322*100/E318</f>
        <v>53.449189228406446</v>
      </c>
      <c r="F324" s="170">
        <f>100-F322*100/F318</f>
        <v>56.09445363360631</v>
      </c>
      <c r="G324" s="170">
        <f>100-G322*100/G318</f>
        <v>58.626990275541495</v>
      </c>
      <c r="H324" s="170">
        <f>IF(H318=0,0,100-H322*100/H318)</f>
        <v>0</v>
      </c>
    </row>
    <row r="325" s="63" customFormat="1" ht="12.75">
      <c r="A325" s="129"/>
    </row>
    <row r="326" spans="1:2" s="63" customFormat="1" ht="12.75">
      <c r="A326" s="129" t="s">
        <v>250</v>
      </c>
      <c r="B326" s="63" t="s">
        <v>211</v>
      </c>
    </row>
    <row r="327" spans="2:9" s="129" customFormat="1" ht="12.75" hidden="1" outlineLevel="1">
      <c r="B327" s="129" t="s">
        <v>2</v>
      </c>
      <c r="C327" s="261">
        <f>C317</f>
        <v>2019</v>
      </c>
      <c r="D327" s="261"/>
      <c r="E327" s="129">
        <f>D317</f>
        <v>2020</v>
      </c>
      <c r="F327" s="129">
        <f>E317</f>
        <v>2021</v>
      </c>
      <c r="G327" s="129">
        <f>F317</f>
        <v>2022</v>
      </c>
      <c r="H327" s="129">
        <f>G317</f>
        <v>2023</v>
      </c>
      <c r="I327" s="129">
        <f>H317</f>
        <v>2024</v>
      </c>
    </row>
    <row r="328" spans="1:9" s="63" customFormat="1" ht="12.75" hidden="1" outlineLevel="1">
      <c r="A328" s="129"/>
      <c r="B328" s="63" t="s">
        <v>222</v>
      </c>
      <c r="C328" s="161">
        <f>'приложение 2'!B19</f>
        <v>-6311.521000000001</v>
      </c>
      <c r="D328" s="161">
        <f>'приложение 2'!B16/((1+C264/100)^1)</f>
        <v>5564.2308985699565</v>
      </c>
      <c r="E328" s="161">
        <f>'приложение 2'!G16/((1+C264/100)^2)</f>
        <v>8468.244536998931</v>
      </c>
      <c r="F328" s="161">
        <f>'приложение 2'!L16/((1+C264/100)^3)</f>
        <v>8538.262063752136</v>
      </c>
      <c r="G328" s="161">
        <f>'приложение 2'!Q16/((1+C264/100)^4)</f>
        <v>8583.723804268133</v>
      </c>
      <c r="H328" s="161">
        <f>'приложение 2'!V16/((1+C264/100)^4)</f>
        <v>9295.545681212878</v>
      </c>
      <c r="I328" s="161">
        <f>'приложение 2'!AA16/((1+C264/100)^6)</f>
        <v>0</v>
      </c>
    </row>
    <row r="329" spans="1:9" s="63" customFormat="1" ht="12.75" hidden="1" outlineLevel="1">
      <c r="A329" s="129"/>
      <c r="B329" s="63" t="s">
        <v>223</v>
      </c>
      <c r="C329" s="161">
        <f>C328</f>
        <v>-6311.521000000001</v>
      </c>
      <c r="D329" s="161">
        <f aca="true" t="shared" si="12" ref="D329:I329">C329+D328</f>
        <v>-747.2901014300442</v>
      </c>
      <c r="E329" s="161">
        <f t="shared" si="12"/>
        <v>7720.954435568887</v>
      </c>
      <c r="F329" s="161">
        <f t="shared" si="12"/>
        <v>16259.216499321023</v>
      </c>
      <c r="G329" s="161">
        <f t="shared" si="12"/>
        <v>24842.940303589156</v>
      </c>
      <c r="H329" s="161">
        <f t="shared" si="12"/>
        <v>34138.485984802035</v>
      </c>
      <c r="I329" s="161">
        <f t="shared" si="12"/>
        <v>34138.485984802035</v>
      </c>
    </row>
    <row r="330" spans="1:8" s="163" customFormat="1" ht="25.5" collapsed="1">
      <c r="A330" s="162"/>
      <c r="B330" s="69" t="s">
        <v>2</v>
      </c>
      <c r="C330" s="167" t="s">
        <v>213</v>
      </c>
      <c r="D330" s="167" t="s">
        <v>3</v>
      </c>
      <c r="E330" s="167" t="s">
        <v>216</v>
      </c>
      <c r="F330" s="164"/>
      <c r="G330" s="164"/>
      <c r="H330" s="164"/>
    </row>
    <row r="331" spans="1:8" s="163" customFormat="1" ht="12.75">
      <c r="A331" s="162"/>
      <c r="B331" s="70" t="s">
        <v>212</v>
      </c>
      <c r="C331" s="171">
        <f>SUM(C328:I328)</f>
        <v>34138.485984802035</v>
      </c>
      <c r="D331" s="167" t="str">
        <f>D24</f>
        <v>тыс. руб.</v>
      </c>
      <c r="E331" s="168" t="s">
        <v>217</v>
      </c>
      <c r="F331" s="164"/>
      <c r="G331" s="164"/>
      <c r="H331" s="164"/>
    </row>
    <row r="332" spans="1:5" s="163" customFormat="1" ht="12.75">
      <c r="A332" s="162"/>
      <c r="B332" s="70" t="s">
        <v>0</v>
      </c>
      <c r="C332" s="172">
        <f>SUM(D328:H328)/(-C328)</f>
        <v>6.408915851631014</v>
      </c>
      <c r="D332" s="69" t="s">
        <v>30</v>
      </c>
      <c r="E332" s="159" t="s">
        <v>218</v>
      </c>
    </row>
    <row r="333" spans="1:5" s="163" customFormat="1" ht="25.5">
      <c r="A333" s="162"/>
      <c r="B333" s="70" t="s">
        <v>1</v>
      </c>
      <c r="C333" s="173">
        <f>IRR(C328:I328)</f>
        <v>1.074533787030754</v>
      </c>
      <c r="D333" s="69" t="s">
        <v>34</v>
      </c>
      <c r="E333" s="159" t="s">
        <v>219</v>
      </c>
    </row>
    <row r="334" spans="1:5" s="63" customFormat="1" ht="25.5" customHeight="1">
      <c r="A334" s="129"/>
      <c r="B334" s="263" t="s">
        <v>224</v>
      </c>
      <c r="C334" s="174">
        <f>(-C328)/D328</f>
        <v>1.1343024966167565</v>
      </c>
      <c r="D334" s="128" t="s">
        <v>35</v>
      </c>
      <c r="E334" s="262" t="s">
        <v>221</v>
      </c>
    </row>
    <row r="335" spans="2:5" ht="25.5" customHeight="1">
      <c r="B335" s="263"/>
      <c r="C335" s="142">
        <f>C334*12</f>
        <v>13.611629959401078</v>
      </c>
      <c r="D335" s="128" t="s">
        <v>220</v>
      </c>
      <c r="E335" s="262"/>
    </row>
    <row r="336" spans="1:9" s="165" customFormat="1" ht="12.75" hidden="1" outlineLevel="1">
      <c r="A336" s="219"/>
      <c r="D336" s="166">
        <f>IF(D329&gt;0,(-C329)/D329,1)</f>
        <v>1</v>
      </c>
      <c r="E336" s="165">
        <f>IF(E329&gt;0,0,1)</f>
        <v>0</v>
      </c>
      <c r="F336" s="165">
        <f>IF(F329&gt;0,0,1)</f>
        <v>0</v>
      </c>
      <c r="G336" s="165">
        <f>IF(G329&gt;0,0,1)</f>
        <v>0</v>
      </c>
      <c r="H336" s="165">
        <f>IF(H329&gt;0,0,1)</f>
        <v>0</v>
      </c>
      <c r="I336" s="165">
        <f>IF(I329&gt;0,0,1)</f>
        <v>0</v>
      </c>
    </row>
    <row r="337" ht="12.75" hidden="1" outlineLevel="1"/>
    <row r="338" ht="12.75" collapsed="1"/>
  </sheetData>
  <sheetProtection/>
  <mergeCells count="59">
    <mergeCell ref="B96:D96"/>
    <mergeCell ref="B99:D99"/>
    <mergeCell ref="B106:D106"/>
    <mergeCell ref="F132:G132"/>
    <mergeCell ref="B70:E70"/>
    <mergeCell ref="B97:E97"/>
    <mergeCell ref="B113:D113"/>
    <mergeCell ref="B110:D110"/>
    <mergeCell ref="B111:D111"/>
    <mergeCell ref="B112:D112"/>
    <mergeCell ref="B109:D109"/>
    <mergeCell ref="B100:E100"/>
    <mergeCell ref="B107:E107"/>
    <mergeCell ref="C154:D154"/>
    <mergeCell ref="B154:B155"/>
    <mergeCell ref="B148:B149"/>
    <mergeCell ref="B132:B133"/>
    <mergeCell ref="C327:D327"/>
    <mergeCell ref="E334:E335"/>
    <mergeCell ref="B334:B335"/>
    <mergeCell ref="B288:B289"/>
    <mergeCell ref="C288:F288"/>
    <mergeCell ref="B202:D202"/>
    <mergeCell ref="C281:F281"/>
    <mergeCell ref="G296:G297"/>
    <mergeCell ref="C132:C133"/>
    <mergeCell ref="D132:E132"/>
    <mergeCell ref="B175:E175"/>
    <mergeCell ref="B176:D176"/>
    <mergeCell ref="C148:D148"/>
    <mergeCell ref="B177:D177"/>
    <mergeCell ref="B178:D178"/>
    <mergeCell ref="B295:B296"/>
    <mergeCell ref="C295:F295"/>
    <mergeCell ref="G289:G290"/>
    <mergeCell ref="C214:D214"/>
    <mergeCell ref="B214:B215"/>
    <mergeCell ref="G268:G269"/>
    <mergeCell ref="C274:G274"/>
    <mergeCell ref="B179:D179"/>
    <mergeCell ref="F180:G180"/>
    <mergeCell ref="G282:G283"/>
    <mergeCell ref="G303:G304"/>
    <mergeCell ref="B263:C263"/>
    <mergeCell ref="B274:B275"/>
    <mergeCell ref="B267:B268"/>
    <mergeCell ref="B281:B282"/>
    <mergeCell ref="B180:B181"/>
    <mergeCell ref="B302:B303"/>
    <mergeCell ref="C302:F302"/>
    <mergeCell ref="C267:G267"/>
    <mergeCell ref="C180:E180"/>
    <mergeCell ref="H180:I180"/>
    <mergeCell ref="D181:E181"/>
    <mergeCell ref="D182:E182"/>
    <mergeCell ref="C183:E183"/>
    <mergeCell ref="G275:G276"/>
    <mergeCell ref="B189:I189"/>
    <mergeCell ref="B184:E184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P45"/>
  <sheetViews>
    <sheetView showZeros="0" zoomScale="80" zoomScaleNormal="80" zoomScalePageLayoutView="0" workbookViewId="0" topLeftCell="A1">
      <pane xSplit="1" ySplit="11" topLeftCell="U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H1" sqref="AH1:AI16384"/>
    </sheetView>
  </sheetViews>
  <sheetFormatPr defaultColWidth="9.140625" defaultRowHeight="12.75" outlineLevelRow="1"/>
  <cols>
    <col min="1" max="1" width="43.8515625" style="2" customWidth="1"/>
    <col min="2" max="2" width="10.28125" style="1" customWidth="1"/>
    <col min="3" max="3" width="8.28125" style="1" customWidth="1"/>
    <col min="4" max="4" width="9.57421875" style="1" customWidth="1"/>
    <col min="5" max="5" width="9.00390625" style="1" customWidth="1"/>
    <col min="6" max="6" width="8.7109375" style="1" customWidth="1"/>
    <col min="7" max="7" width="9.00390625" style="10" customWidth="1"/>
    <col min="8" max="8" width="8.140625" style="10" customWidth="1"/>
    <col min="9" max="9" width="8.57421875" style="10" customWidth="1"/>
    <col min="10" max="13" width="8.421875" style="10" customWidth="1"/>
    <col min="14" max="14" width="9.8515625" style="10" customWidth="1"/>
    <col min="15" max="15" width="8.8515625" style="10" customWidth="1"/>
    <col min="16" max="16" width="9.00390625" style="10" customWidth="1"/>
    <col min="17" max="17" width="11.140625" style="10" customWidth="1"/>
    <col min="18" max="18" width="9.57421875" style="10" customWidth="1"/>
    <col min="19" max="19" width="10.00390625" style="10" customWidth="1"/>
    <col min="20" max="20" width="8.421875" style="10" customWidth="1"/>
    <col min="21" max="21" width="9.57421875" style="10" customWidth="1"/>
    <col min="22" max="26" width="10.140625" style="10" customWidth="1"/>
    <col min="27" max="31" width="10.140625" style="10" hidden="1" customWidth="1"/>
    <col min="32" max="32" width="9.140625" style="10" customWidth="1"/>
    <col min="33" max="33" width="9.140625" style="188" customWidth="1"/>
    <col min="34" max="35" width="10.28125" style="188" hidden="1" customWidth="1"/>
    <col min="36" max="36" width="10.28125" style="188" bestFit="1" customWidth="1"/>
    <col min="37" max="40" width="9.140625" style="188" customWidth="1"/>
    <col min="41" max="42" width="9.140625" style="126" customWidth="1"/>
    <col min="43" max="94" width="9.140625" style="186" customWidth="1"/>
    <col min="95" max="16384" width="9.140625" style="1" customWidth="1"/>
  </cols>
  <sheetData>
    <row r="1" spans="1:40" s="102" customFormat="1" ht="18">
      <c r="A1" s="117"/>
      <c r="B1" s="118" t="str">
        <f>'таблицы в текст'!B1</f>
        <v>НАЗВАНИЕ ПРОЕКТА:</v>
      </c>
      <c r="C1" s="119"/>
      <c r="D1" s="119"/>
      <c r="E1" s="45" t="str">
        <f>'таблицы в текст'!C1</f>
        <v>Бизнес-план Создание автомастерской в п. ХХХ ХХХ района Республики Саха (Якутия)</v>
      </c>
      <c r="AG1" s="187"/>
      <c r="AH1" s="187"/>
      <c r="AI1" s="187"/>
      <c r="AJ1" s="187"/>
      <c r="AK1" s="187"/>
      <c r="AL1" s="187"/>
      <c r="AM1" s="187"/>
      <c r="AN1" s="187"/>
    </row>
    <row r="3" spans="1:94" s="3" customFormat="1" ht="20.25">
      <c r="A3" s="120" t="s">
        <v>163</v>
      </c>
      <c r="B3" s="121"/>
      <c r="C3" s="121"/>
      <c r="D3" s="122"/>
      <c r="E3" s="122"/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88"/>
      <c r="AH3" s="188"/>
      <c r="AI3" s="188"/>
      <c r="AJ3" s="188"/>
      <c r="AK3" s="188"/>
      <c r="AL3" s="188"/>
      <c r="AM3" s="188"/>
      <c r="AN3" s="188"/>
      <c r="AO3" s="126"/>
      <c r="AP3" s="126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88"/>
      <c r="AH4" s="188"/>
      <c r="AI4" s="188"/>
      <c r="AJ4" s="188"/>
      <c r="AK4" s="188"/>
      <c r="AL4" s="188"/>
      <c r="AM4" s="188"/>
      <c r="AN4" s="188"/>
      <c r="AO4" s="126"/>
      <c r="AP4" s="126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s="3" customFormat="1" ht="18.75">
      <c r="A5" s="104" t="s">
        <v>166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88"/>
      <c r="AH5" s="188"/>
      <c r="AI5" s="188"/>
      <c r="AJ5" s="188"/>
      <c r="AK5" s="188"/>
      <c r="AL5" s="188"/>
      <c r="AM5" s="188"/>
      <c r="AN5" s="188"/>
      <c r="AO5" s="126"/>
      <c r="AP5" s="126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42" s="4" customFormat="1" ht="18.75">
      <c r="A6" s="124"/>
      <c r="D6" s="125"/>
      <c r="E6" s="125"/>
      <c r="F6" s="125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88"/>
      <c r="AH6" s="188"/>
      <c r="AI6" s="188"/>
      <c r="AJ6" s="188"/>
      <c r="AK6" s="188"/>
      <c r="AL6" s="188"/>
      <c r="AM6" s="188"/>
      <c r="AN6" s="188"/>
      <c r="AO6" s="126"/>
      <c r="AP6" s="126"/>
    </row>
    <row r="7" spans="1:94" s="8" customFormat="1" ht="12.75">
      <c r="A7" s="270" t="s">
        <v>5</v>
      </c>
      <c r="B7" s="270">
        <f>'таблицы в текст'!D33</f>
        <v>2019</v>
      </c>
      <c r="C7" s="270"/>
      <c r="D7" s="270"/>
      <c r="E7" s="270"/>
      <c r="F7" s="270"/>
      <c r="G7" s="270">
        <f>B7+1</f>
        <v>2020</v>
      </c>
      <c r="H7" s="270"/>
      <c r="I7" s="270"/>
      <c r="J7" s="270"/>
      <c r="K7" s="270"/>
      <c r="L7" s="270">
        <f>G7+1</f>
        <v>2021</v>
      </c>
      <c r="M7" s="270"/>
      <c r="N7" s="270"/>
      <c r="O7" s="270"/>
      <c r="P7" s="270"/>
      <c r="Q7" s="270">
        <f>L7+1</f>
        <v>2022</v>
      </c>
      <c r="R7" s="270"/>
      <c r="S7" s="270"/>
      <c r="T7" s="270"/>
      <c r="U7" s="270"/>
      <c r="V7" s="271">
        <f>Q7+1</f>
        <v>2023</v>
      </c>
      <c r="W7" s="272"/>
      <c r="X7" s="272"/>
      <c r="Y7" s="272"/>
      <c r="Z7" s="273"/>
      <c r="AA7" s="135"/>
      <c r="AB7" s="271">
        <f>V7+1</f>
        <v>2024</v>
      </c>
      <c r="AC7" s="272"/>
      <c r="AD7" s="272"/>
      <c r="AE7" s="273"/>
      <c r="AF7" s="270" t="s">
        <v>10</v>
      </c>
      <c r="AG7" s="181"/>
      <c r="AH7" s="181"/>
      <c r="AI7" s="181"/>
      <c r="AJ7" s="181"/>
      <c r="AK7" s="181"/>
      <c r="AL7" s="181"/>
      <c r="AM7" s="181"/>
      <c r="AN7" s="181"/>
      <c r="AO7" s="11"/>
      <c r="AP7" s="11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1:94" s="8" customFormat="1" ht="12.75">
      <c r="A8" s="270"/>
      <c r="B8" s="270" t="s">
        <v>6</v>
      </c>
      <c r="C8" s="270" t="s">
        <v>7</v>
      </c>
      <c r="D8" s="270"/>
      <c r="E8" s="270"/>
      <c r="F8" s="270"/>
      <c r="G8" s="270" t="s">
        <v>6</v>
      </c>
      <c r="H8" s="270"/>
      <c r="I8" s="270"/>
      <c r="J8" s="270"/>
      <c r="K8" s="270"/>
      <c r="L8" s="270" t="s">
        <v>6</v>
      </c>
      <c r="M8" s="270"/>
      <c r="N8" s="270"/>
      <c r="O8" s="270"/>
      <c r="P8" s="270"/>
      <c r="Q8" s="270" t="s">
        <v>6</v>
      </c>
      <c r="R8" s="270"/>
      <c r="S8" s="270"/>
      <c r="T8" s="270"/>
      <c r="U8" s="270"/>
      <c r="V8" s="270" t="s">
        <v>6</v>
      </c>
      <c r="W8" s="270"/>
      <c r="X8" s="270"/>
      <c r="Y8" s="20"/>
      <c r="Z8" s="20"/>
      <c r="AA8" s="274"/>
      <c r="AB8" s="20"/>
      <c r="AC8" s="20"/>
      <c r="AD8" s="20"/>
      <c r="AE8" s="20"/>
      <c r="AF8" s="270"/>
      <c r="AG8" s="181"/>
      <c r="AH8" s="181"/>
      <c r="AI8" s="181"/>
      <c r="AJ8" s="181"/>
      <c r="AK8" s="181"/>
      <c r="AL8" s="181"/>
      <c r="AM8" s="181"/>
      <c r="AN8" s="181"/>
      <c r="AO8" s="11"/>
      <c r="AP8" s="11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1:94" s="8" customFormat="1" ht="12.75">
      <c r="A9" s="270"/>
      <c r="B9" s="270"/>
      <c r="C9" s="20">
        <v>1</v>
      </c>
      <c r="D9" s="20">
        <v>2</v>
      </c>
      <c r="E9" s="20">
        <v>3</v>
      </c>
      <c r="F9" s="20">
        <v>4</v>
      </c>
      <c r="G9" s="270"/>
      <c r="H9" s="20">
        <f aca="true" t="shared" si="0" ref="H9:K10">C9</f>
        <v>1</v>
      </c>
      <c r="I9" s="20">
        <f t="shared" si="0"/>
        <v>2</v>
      </c>
      <c r="J9" s="20">
        <f t="shared" si="0"/>
        <v>3</v>
      </c>
      <c r="K9" s="20">
        <f t="shared" si="0"/>
        <v>4</v>
      </c>
      <c r="L9" s="270"/>
      <c r="M9" s="20">
        <f aca="true" t="shared" si="1" ref="M9:P10">H9</f>
        <v>1</v>
      </c>
      <c r="N9" s="20">
        <f t="shared" si="1"/>
        <v>2</v>
      </c>
      <c r="O9" s="20">
        <f t="shared" si="1"/>
        <v>3</v>
      </c>
      <c r="P9" s="20">
        <f t="shared" si="1"/>
        <v>4</v>
      </c>
      <c r="Q9" s="270"/>
      <c r="R9" s="20">
        <f aca="true" t="shared" si="2" ref="R9:U10">M9</f>
        <v>1</v>
      </c>
      <c r="S9" s="20">
        <f t="shared" si="2"/>
        <v>2</v>
      </c>
      <c r="T9" s="20">
        <f t="shared" si="2"/>
        <v>3</v>
      </c>
      <c r="U9" s="20">
        <f t="shared" si="2"/>
        <v>4</v>
      </c>
      <c r="V9" s="270"/>
      <c r="W9" s="20">
        <f aca="true" t="shared" si="3" ref="W9:Z10">R9</f>
        <v>1</v>
      </c>
      <c r="X9" s="20">
        <f t="shared" si="3"/>
        <v>2</v>
      </c>
      <c r="Y9" s="20">
        <f t="shared" si="3"/>
        <v>3</v>
      </c>
      <c r="Z9" s="20">
        <f t="shared" si="3"/>
        <v>4</v>
      </c>
      <c r="AA9" s="275"/>
      <c r="AB9" s="20">
        <f>W9</f>
        <v>1</v>
      </c>
      <c r="AC9" s="20">
        <f aca="true" t="shared" si="4" ref="AC9:AE11">X9</f>
        <v>2</v>
      </c>
      <c r="AD9" s="20">
        <f t="shared" si="4"/>
        <v>3</v>
      </c>
      <c r="AE9" s="20">
        <f t="shared" si="4"/>
        <v>4</v>
      </c>
      <c r="AF9" s="270"/>
      <c r="AG9" s="181"/>
      <c r="AH9" s="181" t="s">
        <v>229</v>
      </c>
      <c r="AI9" s="181"/>
      <c r="AJ9" s="181"/>
      <c r="AK9" s="181"/>
      <c r="AL9" s="181"/>
      <c r="AM9" s="181"/>
      <c r="AN9" s="181"/>
      <c r="AO9" s="11"/>
      <c r="AP9" s="11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1:94" s="8" customFormat="1" ht="12.75" hidden="1">
      <c r="A10" s="20"/>
      <c r="B10" s="20">
        <f>SUM(C10:F10)</f>
        <v>308</v>
      </c>
      <c r="C10" s="20">
        <f>SUM('таблицы в текст'!C129:E129)</f>
        <v>73</v>
      </c>
      <c r="D10" s="20">
        <f>SUM('таблицы в текст'!F129:H129)</f>
        <v>78</v>
      </c>
      <c r="E10" s="20">
        <f>SUM('таблицы в текст'!I129:K129)</f>
        <v>79</v>
      </c>
      <c r="F10" s="20">
        <f>SUM('таблицы в текст'!L129:N129)</f>
        <v>78</v>
      </c>
      <c r="G10" s="20">
        <f>SUM(H10:K10)</f>
        <v>308</v>
      </c>
      <c r="H10" s="20">
        <f t="shared" si="0"/>
        <v>73</v>
      </c>
      <c r="I10" s="20">
        <f t="shared" si="0"/>
        <v>78</v>
      </c>
      <c r="J10" s="20">
        <f t="shared" si="0"/>
        <v>79</v>
      </c>
      <c r="K10" s="20">
        <f t="shared" si="0"/>
        <v>78</v>
      </c>
      <c r="L10" s="20">
        <f>SUM(M10:P10)</f>
        <v>308</v>
      </c>
      <c r="M10" s="20">
        <f t="shared" si="1"/>
        <v>73</v>
      </c>
      <c r="N10" s="20">
        <f t="shared" si="1"/>
        <v>78</v>
      </c>
      <c r="O10" s="20">
        <f t="shared" si="1"/>
        <v>79</v>
      </c>
      <c r="P10" s="20">
        <f t="shared" si="1"/>
        <v>78</v>
      </c>
      <c r="Q10" s="20">
        <f>SUM(R10:U10)</f>
        <v>308</v>
      </c>
      <c r="R10" s="20">
        <f t="shared" si="2"/>
        <v>73</v>
      </c>
      <c r="S10" s="20">
        <f t="shared" si="2"/>
        <v>78</v>
      </c>
      <c r="T10" s="20">
        <f t="shared" si="2"/>
        <v>79</v>
      </c>
      <c r="U10" s="20">
        <f t="shared" si="2"/>
        <v>78</v>
      </c>
      <c r="V10" s="20">
        <f>SUM(W10:Z10)</f>
        <v>308</v>
      </c>
      <c r="W10" s="20">
        <f t="shared" si="3"/>
        <v>73</v>
      </c>
      <c r="X10" s="20">
        <f t="shared" si="3"/>
        <v>78</v>
      </c>
      <c r="Y10" s="20">
        <f t="shared" si="3"/>
        <v>79</v>
      </c>
      <c r="Z10" s="20">
        <f t="shared" si="3"/>
        <v>78</v>
      </c>
      <c r="AA10" s="20"/>
      <c r="AB10" s="20">
        <f>W10</f>
        <v>73</v>
      </c>
      <c r="AC10" s="20">
        <f t="shared" si="4"/>
        <v>78</v>
      </c>
      <c r="AD10" s="20">
        <f t="shared" si="4"/>
        <v>79</v>
      </c>
      <c r="AE10" s="20">
        <f t="shared" si="4"/>
        <v>78</v>
      </c>
      <c r="AF10" s="20"/>
      <c r="AG10" s="181"/>
      <c r="AH10" s="181"/>
      <c r="AI10" s="181"/>
      <c r="AJ10" s="181"/>
      <c r="AK10" s="181"/>
      <c r="AL10" s="181"/>
      <c r="AM10" s="181"/>
      <c r="AN10" s="181"/>
      <c r="AO10" s="11"/>
      <c r="AP10" s="11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</row>
    <row r="11" spans="1:94" s="134" customFormat="1" ht="15" customHeight="1" hidden="1">
      <c r="A11" s="132"/>
      <c r="B11" s="132"/>
      <c r="C11" s="132"/>
      <c r="D11" s="132"/>
      <c r="E11" s="132"/>
      <c r="F11" s="132"/>
      <c r="G11" s="132"/>
      <c r="H11" s="133">
        <f>'таблицы в текст'!B124</f>
        <v>0.1</v>
      </c>
      <c r="I11" s="133">
        <f>H11</f>
        <v>0.1</v>
      </c>
      <c r="J11" s="133">
        <f>I11</f>
        <v>0.1</v>
      </c>
      <c r="K11" s="133">
        <f>J11</f>
        <v>0.1</v>
      </c>
      <c r="L11" s="132"/>
      <c r="M11" s="133">
        <f>'таблицы в текст'!C124</f>
        <v>0.05</v>
      </c>
      <c r="N11" s="133">
        <f>M11</f>
        <v>0.05</v>
      </c>
      <c r="O11" s="133">
        <f>N11</f>
        <v>0.05</v>
      </c>
      <c r="P11" s="133">
        <f>O11</f>
        <v>0.05</v>
      </c>
      <c r="Q11" s="132"/>
      <c r="R11" s="133">
        <f>'таблицы в текст'!D124</f>
        <v>0.05</v>
      </c>
      <c r="S11" s="133">
        <f>R11</f>
        <v>0.05</v>
      </c>
      <c r="T11" s="133">
        <f>S11</f>
        <v>0.05</v>
      </c>
      <c r="U11" s="133">
        <f>T11</f>
        <v>0.05</v>
      </c>
      <c r="V11" s="132"/>
      <c r="W11" s="133">
        <f>'таблицы в текст'!E124</f>
        <v>0.05</v>
      </c>
      <c r="X11" s="133">
        <f>W11</f>
        <v>0.05</v>
      </c>
      <c r="Y11" s="133">
        <f>X11</f>
        <v>0.05</v>
      </c>
      <c r="Z11" s="133">
        <f>Y11</f>
        <v>0.05</v>
      </c>
      <c r="AA11" s="133"/>
      <c r="AB11" s="131">
        <f>W11</f>
        <v>0.05</v>
      </c>
      <c r="AC11" s="131">
        <f t="shared" si="4"/>
        <v>0.05</v>
      </c>
      <c r="AD11" s="131">
        <f t="shared" si="4"/>
        <v>0.05</v>
      </c>
      <c r="AE11" s="131">
        <f t="shared" si="4"/>
        <v>0.05</v>
      </c>
      <c r="AF11" s="132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</row>
    <row r="12" spans="1:94" s="8" customFormat="1" ht="15" customHeight="1">
      <c r="A12" s="12" t="s">
        <v>167</v>
      </c>
      <c r="B12" s="28">
        <f>SUM(C12:F12)</f>
        <v>13266.588499999998</v>
      </c>
      <c r="C12" s="28">
        <f>IF('таблицы в текст'!$D$38=1,'таблицы в текст'!$G$142/'таблицы в текст'!$O$129*'приложение 1'!C10,0)</f>
        <v>0</v>
      </c>
      <c r="D12" s="28">
        <f>IF('таблицы в текст'!$D$38&lt;3,'таблицы в текст'!$G$142*'таблицы в текст'!C120,0)</f>
        <v>4702.081999999999</v>
      </c>
      <c r="E12" s="28">
        <f>IF('таблицы в текст'!$D$38&lt;4,'таблицы в текст'!$G$142*'таблицы в текст'!D120,0)</f>
        <v>4534.1505</v>
      </c>
      <c r="F12" s="28">
        <f>IF('таблицы в текст'!$D$38&lt;5,'таблицы в текст'!$G$142*'таблицы в текст'!E120,0)</f>
        <v>4030.3559999999993</v>
      </c>
      <c r="G12" s="28">
        <f>SUM(H12:K12)</f>
        <v>17809.135575</v>
      </c>
      <c r="H12" s="28">
        <f>IF('таблицы в текст'!$D$38&lt;6,'таблицы в текст'!$G$142*'таблицы в текст'!B120*(100%+H11),0)*H35</f>
        <v>3879.2176499999996</v>
      </c>
      <c r="I12" s="28">
        <f>IF('таблицы в текст'!$D$38&lt;7,'таблицы в текст'!$G$142*'таблицы в текст'!C120*(100%+'таблицы в текст'!C124),0)*I35</f>
        <v>4937.1861</v>
      </c>
      <c r="J12" s="28">
        <f>IF('таблицы в текст'!$D$38&lt;8,'таблицы в текст'!$G$142*'таблицы в текст'!D120*(100%+'таблицы в текст'!D124),0)*J35</f>
        <v>4760.8580249999995</v>
      </c>
      <c r="K12" s="28">
        <f>IF('таблицы в текст'!$D$38&lt;9,'таблицы в текст'!$G$142*'таблицы в текст'!E120*(100%+'таблицы в текст'!E124),0)*1</f>
        <v>4231.873799999999</v>
      </c>
      <c r="L12" s="28">
        <f>SUM(M12:P12)</f>
        <v>18699.59235375</v>
      </c>
      <c r="M12" s="28">
        <f>H12*(100%+M11)*M35</f>
        <v>4073.1785324999996</v>
      </c>
      <c r="N12" s="28">
        <f>I12*(100%+N11)*N35</f>
        <v>5184.045405</v>
      </c>
      <c r="O12" s="28">
        <f>J12*(100%+O11)*O35</f>
        <v>4998.900926249999</v>
      </c>
      <c r="P12" s="28">
        <f>K12*(100%+P11)*P35</f>
        <v>4443.46749</v>
      </c>
      <c r="Q12" s="28">
        <f>SUM(R12:U12)</f>
        <v>19634.5719714375</v>
      </c>
      <c r="R12" s="28">
        <f>M12*(100%+R11)*R35</f>
        <v>4276.837459124999</v>
      </c>
      <c r="S12" s="28">
        <f>N12*(100%+S11)*S35</f>
        <v>5443.24767525</v>
      </c>
      <c r="T12" s="28">
        <f>O12*(100%+T11)*T35</f>
        <v>5248.8459725625</v>
      </c>
      <c r="U12" s="28">
        <f>P12*(100%+U11)*U35</f>
        <v>4665.6408645</v>
      </c>
      <c r="V12" s="28">
        <f>SUM(W12:Z12)</f>
        <v>20616.30057000937</v>
      </c>
      <c r="W12" s="28">
        <f>R12*(100%+W11)*W35</f>
        <v>4490.679332081249</v>
      </c>
      <c r="X12" s="28">
        <f>S12*(100%+X11)*X35</f>
        <v>5715.4100590125</v>
      </c>
      <c r="Y12" s="28">
        <f>T12*(100%+Y11)*Y35</f>
        <v>5511.288271190625</v>
      </c>
      <c r="Z12" s="28">
        <f>U12*(100%+Z11)*Z35</f>
        <v>4898.922907725</v>
      </c>
      <c r="AA12" s="29">
        <f aca="true" t="shared" si="5" ref="AA12:AA27">SUM(AB12:AE12)</f>
        <v>0</v>
      </c>
      <c r="AB12" s="28">
        <f>IF('таблицы в текст'!$D$35&lt;2,0,W12*(100%+AB11)*AB35)</f>
        <v>0</v>
      </c>
      <c r="AC12" s="28">
        <f>IF('таблицы в текст'!$D$35&lt;3,0,X12*(100%+AC11)*AC35)</f>
        <v>0</v>
      </c>
      <c r="AD12" s="28">
        <f>IF('таблицы в текст'!$D$35&lt;4,0,Y12*(100%+AD11)*AD35)</f>
        <v>0</v>
      </c>
      <c r="AE12" s="28">
        <f>IF('таблицы в текст'!$D$35&lt;5,0,Z12*(100%+AE11)*AE35)</f>
        <v>0</v>
      </c>
      <c r="AF12" s="28">
        <f>AA12+V12+Q12+L12+G12+B12</f>
        <v>90026.18897019686</v>
      </c>
      <c r="AG12" s="181"/>
      <c r="AH12" s="189">
        <f>SUM(C12:AE12)-G12-L12-Q12-V12-AA12-AF12</f>
        <v>0</v>
      </c>
      <c r="AI12" s="189"/>
      <c r="AJ12" s="190"/>
      <c r="AK12" s="181"/>
      <c r="AL12" s="181"/>
      <c r="AM12" s="181"/>
      <c r="AN12" s="181"/>
      <c r="AO12" s="11"/>
      <c r="AP12" s="11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s="8" customFormat="1" ht="15" customHeight="1">
      <c r="A13" s="12" t="s">
        <v>173</v>
      </c>
      <c r="B13" s="28">
        <f>B15+B16+B17</f>
        <v>241.32051704444444</v>
      </c>
      <c r="C13" s="28">
        <f aca="true" t="shared" si="6" ref="C13:AE13">C15+C16+C17</f>
        <v>0</v>
      </c>
      <c r="D13" s="28">
        <f t="shared" si="6"/>
        <v>85.53132249676511</v>
      </c>
      <c r="E13" s="28">
        <f t="shared" si="6"/>
        <v>82.47663240759493</v>
      </c>
      <c r="F13" s="28">
        <f t="shared" si="6"/>
        <v>73.31256214008438</v>
      </c>
      <c r="G13" s="28">
        <f t="shared" si="6"/>
        <v>241.3205170444444</v>
      </c>
      <c r="H13" s="28">
        <f t="shared" si="6"/>
        <v>52.56486509878987</v>
      </c>
      <c r="I13" s="28">
        <f t="shared" si="6"/>
        <v>66.90073739845985</v>
      </c>
      <c r="J13" s="28">
        <f t="shared" si="6"/>
        <v>64.51142534851485</v>
      </c>
      <c r="K13" s="28">
        <f t="shared" si="6"/>
        <v>57.34348919867986</v>
      </c>
      <c r="L13" s="28">
        <f t="shared" si="6"/>
        <v>253.38654289666664</v>
      </c>
      <c r="M13" s="28">
        <f t="shared" si="6"/>
        <v>55.193108353729365</v>
      </c>
      <c r="N13" s="28">
        <f t="shared" si="6"/>
        <v>70.24577426838283</v>
      </c>
      <c r="O13" s="28">
        <f t="shared" si="6"/>
        <v>67.73699661594058</v>
      </c>
      <c r="P13" s="28">
        <f t="shared" si="6"/>
        <v>60.21066365861386</v>
      </c>
      <c r="Q13" s="28">
        <f t="shared" si="6"/>
        <v>266.0558700415</v>
      </c>
      <c r="R13" s="28">
        <f t="shared" si="6"/>
        <v>57.95276377141583</v>
      </c>
      <c r="S13" s="28">
        <f t="shared" si="6"/>
        <v>73.75806298180197</v>
      </c>
      <c r="T13" s="28">
        <f t="shared" si="6"/>
        <v>71.12384644673763</v>
      </c>
      <c r="U13" s="28">
        <f t="shared" si="6"/>
        <v>63.221196841544554</v>
      </c>
      <c r="V13" s="28">
        <f t="shared" si="6"/>
        <v>279.35866354357495</v>
      </c>
      <c r="W13" s="28">
        <f t="shared" si="6"/>
        <v>60.85040195998662</v>
      </c>
      <c r="X13" s="28">
        <f t="shared" si="6"/>
        <v>77.44596613089207</v>
      </c>
      <c r="Y13" s="28">
        <f t="shared" si="6"/>
        <v>74.68003876907451</v>
      </c>
      <c r="Z13" s="28">
        <f t="shared" si="6"/>
        <v>66.38225668362179</v>
      </c>
      <c r="AA13" s="29">
        <f t="shared" si="5"/>
        <v>0</v>
      </c>
      <c r="AB13" s="28">
        <f t="shared" si="6"/>
        <v>0</v>
      </c>
      <c r="AC13" s="28">
        <f t="shared" si="6"/>
        <v>0</v>
      </c>
      <c r="AD13" s="28">
        <f t="shared" si="6"/>
        <v>0</v>
      </c>
      <c r="AE13" s="28">
        <f t="shared" si="6"/>
        <v>0</v>
      </c>
      <c r="AF13" s="28">
        <f aca="true" t="shared" si="7" ref="AF13:AF32">AA13+V13+Q13+L13+G13+B13</f>
        <v>1281.4421105706303</v>
      </c>
      <c r="AG13" s="181"/>
      <c r="AH13" s="189">
        <f aca="true" t="shared" si="8" ref="AH13:AH33">SUM(C13:AE13)-G13-L13-Q13-V13-AA13-AF13</f>
        <v>0</v>
      </c>
      <c r="AI13" s="189"/>
      <c r="AJ13" s="190"/>
      <c r="AK13" s="181"/>
      <c r="AL13" s="181"/>
      <c r="AM13" s="181"/>
      <c r="AN13" s="181"/>
      <c r="AO13" s="11"/>
      <c r="AP13" s="11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s="8" customFormat="1" ht="15" customHeight="1">
      <c r="A14" s="12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>
        <f t="shared" si="5"/>
        <v>0</v>
      </c>
      <c r="AB14" s="28"/>
      <c r="AC14" s="28"/>
      <c r="AD14" s="28"/>
      <c r="AE14" s="28"/>
      <c r="AF14" s="28">
        <f t="shared" si="7"/>
        <v>0</v>
      </c>
      <c r="AG14" s="181"/>
      <c r="AH14" s="189">
        <f t="shared" si="8"/>
        <v>0</v>
      </c>
      <c r="AI14" s="189"/>
      <c r="AJ14" s="190"/>
      <c r="AK14" s="181"/>
      <c r="AL14" s="181"/>
      <c r="AM14" s="181"/>
      <c r="AN14" s="181"/>
      <c r="AO14" s="11"/>
      <c r="AP14" s="11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</row>
    <row r="15" spans="1:94" s="8" customFormat="1" ht="15" customHeight="1">
      <c r="A15" s="137" t="str">
        <f>'таблицы в текст'!B216</f>
        <v>Материальные расходы</v>
      </c>
      <c r="B15" s="28">
        <f>SUM(C15:F15)</f>
        <v>119.13</v>
      </c>
      <c r="C15" s="28">
        <f>'таблицы в текст'!$C$216/$B$12*C12</f>
        <v>0</v>
      </c>
      <c r="D15" s="28">
        <f>'таблицы в текст'!$C$216/$B$12*D12</f>
        <v>42.2232911392405</v>
      </c>
      <c r="E15" s="28">
        <f>'таблицы в текст'!$C$216/$B$12*E12</f>
        <v>40.715316455696204</v>
      </c>
      <c r="F15" s="28">
        <f>'таблицы в текст'!$C$216/$B$12*F12</f>
        <v>36.19139240506328</v>
      </c>
      <c r="G15" s="28">
        <f>SUM(H15:K15)</f>
        <v>119.12999999999998</v>
      </c>
      <c r="H15" s="28">
        <f>'таблицы в текст'!$C$216/$G$12*H12</f>
        <v>25.949108910891084</v>
      </c>
      <c r="I15" s="28">
        <f>'таблицы в текст'!$C$216/$G$12*I12</f>
        <v>33.026138613861384</v>
      </c>
      <c r="J15" s="28">
        <f>'таблицы в текст'!$C$216/$G$12*J12</f>
        <v>31.84663366336633</v>
      </c>
      <c r="K15" s="28">
        <f>'таблицы в текст'!$C$216/$G$12*K12</f>
        <v>28.308118811881183</v>
      </c>
      <c r="L15" s="28">
        <f>SUM(M15:P15)</f>
        <v>125.08649999999997</v>
      </c>
      <c r="M15" s="28">
        <f>'таблицы в текст'!$C$216/$G$12*M12</f>
        <v>27.246564356435638</v>
      </c>
      <c r="N15" s="28">
        <f>'таблицы в текст'!$C$216/$G$12*N12</f>
        <v>34.67744554455445</v>
      </c>
      <c r="O15" s="28">
        <f>'таблицы в текст'!$C$216/$G$12*O12</f>
        <v>33.438965346534644</v>
      </c>
      <c r="P15" s="28">
        <f>'таблицы в текст'!$C$216/$G$12*P12</f>
        <v>29.723524752475246</v>
      </c>
      <c r="Q15" s="28">
        <f>SUM(R15:U15)</f>
        <v>131.340825</v>
      </c>
      <c r="R15" s="28">
        <f>'таблицы в текст'!$C$216/$G$12*R12</f>
        <v>28.60889257425742</v>
      </c>
      <c r="S15" s="28">
        <f>'таблицы в текст'!$C$216/$G$12*S12</f>
        <v>36.41131782178218</v>
      </c>
      <c r="T15" s="28">
        <f>'таблицы в текст'!$C$216/$G$12*T12</f>
        <v>35.110913613861385</v>
      </c>
      <c r="U15" s="28">
        <f>'таблицы в текст'!$C$216/$G$12*U12</f>
        <v>31.20970099009901</v>
      </c>
      <c r="V15" s="28">
        <f>SUM(W15:Z15)</f>
        <v>137.90786624999998</v>
      </c>
      <c r="W15" s="28">
        <f>'таблицы в текст'!$C$216/$G$12*W12</f>
        <v>30.03933720297029</v>
      </c>
      <c r="X15" s="28">
        <f>'таблицы в текст'!$C$216/$G$12*X12</f>
        <v>38.23188371287129</v>
      </c>
      <c r="Y15" s="28">
        <f>'таблицы в текст'!$C$216/$G$12*Y12</f>
        <v>36.86645929455445</v>
      </c>
      <c r="Z15" s="28">
        <f>'таблицы в текст'!$C$216/$G$12*Z12</f>
        <v>32.770186039603956</v>
      </c>
      <c r="AA15" s="29">
        <f t="shared" si="5"/>
        <v>0</v>
      </c>
      <c r="AB15" s="28">
        <f>'таблицы в текст'!$C$216/$G$12*AB12</f>
        <v>0</v>
      </c>
      <c r="AC15" s="28">
        <f>'таблицы в текст'!$C$216/$G$12*AC12</f>
        <v>0</v>
      </c>
      <c r="AD15" s="28">
        <f>'таблицы в текст'!$C$216/$G$12*AD12</f>
        <v>0</v>
      </c>
      <c r="AE15" s="28">
        <f>'таблицы в текст'!$C$216/$G$12*AE12</f>
        <v>0</v>
      </c>
      <c r="AF15" s="28">
        <f t="shared" si="7"/>
        <v>632.59519125</v>
      </c>
      <c r="AG15" s="181"/>
      <c r="AH15" s="189">
        <f t="shared" si="8"/>
        <v>0</v>
      </c>
      <c r="AI15" s="189"/>
      <c r="AJ15" s="190"/>
      <c r="AK15" s="181"/>
      <c r="AL15" s="181"/>
      <c r="AM15" s="181"/>
      <c r="AN15" s="181"/>
      <c r="AO15" s="11"/>
      <c r="AP15" s="11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1:94" s="8" customFormat="1" ht="15" customHeight="1">
      <c r="A16" s="137" t="str">
        <f>'таблицы в текст'!B218</f>
        <v>Расходы на электроэнергию</v>
      </c>
      <c r="B16" s="28">
        <f>SUM(C16:F16)</f>
        <v>98.77628444444444</v>
      </c>
      <c r="C16" s="28">
        <f>'таблицы в текст'!$C$218/$B$12*C12</f>
        <v>0</v>
      </c>
      <c r="D16" s="28">
        <f>'таблицы в текст'!$C$218/$B$12*D12</f>
        <v>35.00931600562588</v>
      </c>
      <c r="E16" s="28">
        <f>'таблицы в текст'!$C$218/$B$12*E12</f>
        <v>33.75898329113924</v>
      </c>
      <c r="F16" s="28">
        <f>'таблицы в текст'!$C$218/$B$12*F12</f>
        <v>30.00798514767932</v>
      </c>
      <c r="G16" s="28">
        <f>SUM(H16:K16)</f>
        <v>98.77628444444443</v>
      </c>
      <c r="H16" s="28">
        <f>'таблицы в текст'!$C$218/$G$12*H12</f>
        <v>21.51562631463146</v>
      </c>
      <c r="I16" s="28">
        <f>'таблицы в текст'!$C$218/$G$12*I12</f>
        <v>27.38352440044004</v>
      </c>
      <c r="J16" s="28">
        <f>'таблицы в текст'!$C$218/$G$12*J12</f>
        <v>26.40554138613861</v>
      </c>
      <c r="K16" s="28">
        <f>'таблицы в текст'!$C$218/$G$12*K12</f>
        <v>23.47159234323432</v>
      </c>
      <c r="L16" s="28">
        <f>SUM(M16:P16)</f>
        <v>103.71509866666666</v>
      </c>
      <c r="M16" s="28">
        <f>'таблицы в текст'!$C$218/$G$12*M12</f>
        <v>22.591407630363033</v>
      </c>
      <c r="N16" s="28">
        <f>'таблицы в текст'!$C$218/$G$12*N12</f>
        <v>28.752700620462043</v>
      </c>
      <c r="O16" s="28">
        <f>'таблицы в текст'!$C$218/$G$12*O12</f>
        <v>27.72581845544554</v>
      </c>
      <c r="P16" s="28">
        <f>'таблицы в текст'!$C$218/$G$12*P12</f>
        <v>24.645171960396038</v>
      </c>
      <c r="Q16" s="28">
        <f>SUM(R16:U16)</f>
        <v>108.90085359999999</v>
      </c>
      <c r="R16" s="28">
        <f>'таблицы в текст'!$C$218/$G$12*R12</f>
        <v>23.720978011881183</v>
      </c>
      <c r="S16" s="28">
        <f>'таблицы в текст'!$C$218/$G$12*S12</f>
        <v>30.190335651485146</v>
      </c>
      <c r="T16" s="28">
        <f>'таблицы в текст'!$C$218/$G$12*T12</f>
        <v>29.11210937821782</v>
      </c>
      <c r="U16" s="28">
        <f>'таблицы в текст'!$C$218/$G$12*U12</f>
        <v>25.877430558415842</v>
      </c>
      <c r="V16" s="28">
        <f aca="true" t="shared" si="9" ref="V16:V29">SUM(W16:Z16)</f>
        <v>114.34589627999999</v>
      </c>
      <c r="W16" s="28">
        <f>'таблицы в текст'!$C$218/$G$12*W12</f>
        <v>24.907026912475242</v>
      </c>
      <c r="X16" s="28">
        <f>'таблицы в текст'!$C$218/$G$12*X12</f>
        <v>31.699852434059405</v>
      </c>
      <c r="Y16" s="28">
        <f>'таблицы в текст'!$C$218/$G$12*Y12</f>
        <v>30.567714847128713</v>
      </c>
      <c r="Z16" s="28">
        <f>'таблицы в текст'!$C$218/$G$12*Z12</f>
        <v>27.171302086336635</v>
      </c>
      <c r="AA16" s="29">
        <f t="shared" si="5"/>
        <v>0</v>
      </c>
      <c r="AB16" s="28">
        <f>'таблицы в текст'!$C$218/$G$12*AB12</f>
        <v>0</v>
      </c>
      <c r="AC16" s="28">
        <f>'таблицы в текст'!$C$218/$G$12*AC12</f>
        <v>0</v>
      </c>
      <c r="AD16" s="28">
        <f>'таблицы в текст'!$C$218/$G$12*AD12</f>
        <v>0</v>
      </c>
      <c r="AE16" s="28">
        <f>'таблицы в текст'!$C$218/$G$12*AE12</f>
        <v>0</v>
      </c>
      <c r="AF16" s="28">
        <f t="shared" si="7"/>
        <v>524.5144174355555</v>
      </c>
      <c r="AG16" s="181"/>
      <c r="AH16" s="189">
        <f t="shared" si="8"/>
        <v>0</v>
      </c>
      <c r="AI16" s="189"/>
      <c r="AJ16" s="190"/>
      <c r="AK16" s="181"/>
      <c r="AL16" s="181"/>
      <c r="AM16" s="181"/>
      <c r="AN16" s="181"/>
      <c r="AO16" s="11"/>
      <c r="AP16" s="11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8" customFormat="1" ht="15" customHeight="1">
      <c r="A17" s="137" t="str">
        <f>'таблицы в текст'!B219</f>
        <v>Расходы на воду</v>
      </c>
      <c r="B17" s="28">
        <f>SUM(C17:F17)</f>
        <v>23.414232600000005</v>
      </c>
      <c r="C17" s="28">
        <f>'таблицы в текст'!$C$219/$B$12*C12</f>
        <v>0</v>
      </c>
      <c r="D17" s="28">
        <f>'таблицы в текст'!$C$219/$B$12*D12</f>
        <v>8.298715351898736</v>
      </c>
      <c r="E17" s="28">
        <f>'таблицы в текст'!$C$219/$B$12*E12</f>
        <v>8.002332660759496</v>
      </c>
      <c r="F17" s="28">
        <f>'таблицы в текст'!$C$219/$B$12*F12</f>
        <v>7.113184587341774</v>
      </c>
      <c r="G17" s="28">
        <f>SUM(H17:K17)</f>
        <v>23.414232600000005</v>
      </c>
      <c r="H17" s="28">
        <f>'таблицы в текст'!$C$219/$G$12*H12</f>
        <v>5.100129873267327</v>
      </c>
      <c r="I17" s="28">
        <f>'таблицы в текст'!$C$219/$G$12*I12</f>
        <v>6.491074384158417</v>
      </c>
      <c r="J17" s="28">
        <f>'таблицы в текст'!$C$219/$G$12*J12</f>
        <v>6.259250299009902</v>
      </c>
      <c r="K17" s="28">
        <f>'таблицы в текст'!$C$219/$G$12*K12</f>
        <v>5.563778043564357</v>
      </c>
      <c r="L17" s="28">
        <f>SUM(M17:P17)</f>
        <v>24.584944230000005</v>
      </c>
      <c r="M17" s="28">
        <f>'таблицы в текст'!$C$219/$G$12*M12</f>
        <v>5.355136366930694</v>
      </c>
      <c r="N17" s="28">
        <f>'таблицы в текст'!$C$219/$G$12*N12</f>
        <v>6.815628103366338</v>
      </c>
      <c r="O17" s="28">
        <f>'таблицы в текст'!$C$219/$G$12*O12</f>
        <v>6.572212813960396</v>
      </c>
      <c r="P17" s="28">
        <f>'таблицы в текст'!$C$219/$G$12*P12</f>
        <v>5.841966945742575</v>
      </c>
      <c r="Q17" s="28">
        <f>SUM(R17:U17)</f>
        <v>25.814191441500004</v>
      </c>
      <c r="R17" s="28">
        <f>'таблицы в текст'!$C$219/$G$12*R12</f>
        <v>5.622893185277228</v>
      </c>
      <c r="S17" s="28">
        <f>'таблицы в текст'!$C$219/$G$12*S12</f>
        <v>7.156409508534654</v>
      </c>
      <c r="T17" s="28">
        <f>'таблицы в текст'!$C$219/$G$12*T12</f>
        <v>6.900823454658417</v>
      </c>
      <c r="U17" s="28">
        <f>'таблицы в текст'!$C$219/$G$12*U12</f>
        <v>6.134065293029704</v>
      </c>
      <c r="V17" s="28">
        <f t="shared" si="9"/>
        <v>27.104901013575002</v>
      </c>
      <c r="W17" s="28">
        <f>'таблицы в текст'!$C$219/$G$12*W12</f>
        <v>5.904037844541089</v>
      </c>
      <c r="X17" s="28">
        <f>'таблицы в текст'!$C$219/$G$12*X12</f>
        <v>7.514229983961387</v>
      </c>
      <c r="Y17" s="28">
        <f>'таблицы в текст'!$C$219/$G$12*Y12</f>
        <v>7.245864627391338</v>
      </c>
      <c r="Z17" s="28">
        <f>'таблицы в текст'!$C$219/$G$12*Z12</f>
        <v>6.4407685576811895</v>
      </c>
      <c r="AA17" s="29">
        <f t="shared" si="5"/>
        <v>0</v>
      </c>
      <c r="AB17" s="28">
        <f>'таблицы в текст'!$C$219/$G$12*AB12</f>
        <v>0</v>
      </c>
      <c r="AC17" s="28">
        <f>'таблицы в текст'!$C$219/$G$12*AC12</f>
        <v>0</v>
      </c>
      <c r="AD17" s="28">
        <f>'таблицы в текст'!$C$219/$G$12*AD12</f>
        <v>0</v>
      </c>
      <c r="AE17" s="28">
        <f>'таблицы в текст'!$C$219/$G$12*AE12</f>
        <v>0</v>
      </c>
      <c r="AF17" s="28">
        <f t="shared" si="7"/>
        <v>124.33250188507502</v>
      </c>
      <c r="AG17" s="181"/>
      <c r="AH17" s="189">
        <f t="shared" si="8"/>
        <v>0</v>
      </c>
      <c r="AI17" s="189"/>
      <c r="AJ17" s="190"/>
      <c r="AK17" s="181"/>
      <c r="AL17" s="181"/>
      <c r="AM17" s="181"/>
      <c r="AN17" s="181"/>
      <c r="AO17" s="11"/>
      <c r="AP17" s="11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s="8" customFormat="1" ht="19.5" customHeight="1">
      <c r="A18" s="12" t="s">
        <v>174</v>
      </c>
      <c r="B18" s="28">
        <f aca="true" t="shared" si="10" ref="B18:K18">B12-B13</f>
        <v>13025.267982955553</v>
      </c>
      <c r="C18" s="28">
        <f t="shared" si="10"/>
        <v>0</v>
      </c>
      <c r="D18" s="28">
        <f t="shared" si="10"/>
        <v>4616.5506775032345</v>
      </c>
      <c r="E18" s="28">
        <f t="shared" si="10"/>
        <v>4451.673867592404</v>
      </c>
      <c r="F18" s="28">
        <f t="shared" si="10"/>
        <v>3957.043437859915</v>
      </c>
      <c r="G18" s="28">
        <f t="shared" si="10"/>
        <v>17567.815057955555</v>
      </c>
      <c r="H18" s="28">
        <f t="shared" si="10"/>
        <v>3826.6527849012095</v>
      </c>
      <c r="I18" s="28">
        <f t="shared" si="10"/>
        <v>4870.28536260154</v>
      </c>
      <c r="J18" s="28">
        <f t="shared" si="10"/>
        <v>4696.346599651485</v>
      </c>
      <c r="K18" s="28">
        <f t="shared" si="10"/>
        <v>4174.5303108013195</v>
      </c>
      <c r="L18" s="28">
        <f aca="true" t="shared" si="11" ref="L18:AE18">L12-L13</f>
        <v>18446.20581085333</v>
      </c>
      <c r="M18" s="28">
        <f t="shared" si="11"/>
        <v>4017.9854241462704</v>
      </c>
      <c r="N18" s="28">
        <f t="shared" si="11"/>
        <v>5113.799630731617</v>
      </c>
      <c r="O18" s="28">
        <f t="shared" si="11"/>
        <v>4931.163929634059</v>
      </c>
      <c r="P18" s="28">
        <f t="shared" si="11"/>
        <v>4383.256826341386</v>
      </c>
      <c r="Q18" s="28">
        <f t="shared" si="11"/>
        <v>19368.516101396002</v>
      </c>
      <c r="R18" s="28">
        <f t="shared" si="11"/>
        <v>4218.884695353584</v>
      </c>
      <c r="S18" s="28">
        <f t="shared" si="11"/>
        <v>5369.489612268198</v>
      </c>
      <c r="T18" s="28">
        <f t="shared" si="11"/>
        <v>5177.722126115762</v>
      </c>
      <c r="U18" s="28">
        <f t="shared" si="11"/>
        <v>4602.419667658455</v>
      </c>
      <c r="V18" s="28">
        <f t="shared" si="9"/>
        <v>20336.9419064658</v>
      </c>
      <c r="W18" s="28">
        <f t="shared" si="11"/>
        <v>4429.828930121263</v>
      </c>
      <c r="X18" s="28">
        <f t="shared" si="11"/>
        <v>5637.964092881608</v>
      </c>
      <c r="Y18" s="28">
        <f t="shared" si="11"/>
        <v>5436.60823242155</v>
      </c>
      <c r="Z18" s="28">
        <f t="shared" si="11"/>
        <v>4832.540651041379</v>
      </c>
      <c r="AA18" s="29">
        <f t="shared" si="5"/>
        <v>0</v>
      </c>
      <c r="AB18" s="28">
        <f t="shared" si="11"/>
        <v>0</v>
      </c>
      <c r="AC18" s="28">
        <f t="shared" si="11"/>
        <v>0</v>
      </c>
      <c r="AD18" s="28">
        <f t="shared" si="11"/>
        <v>0</v>
      </c>
      <c r="AE18" s="28">
        <f t="shared" si="11"/>
        <v>0</v>
      </c>
      <c r="AF18" s="28">
        <f t="shared" si="7"/>
        <v>88744.74685962625</v>
      </c>
      <c r="AG18" s="181"/>
      <c r="AH18" s="189">
        <f t="shared" si="8"/>
        <v>0</v>
      </c>
      <c r="AI18" s="189">
        <f>AF12-AF15-AF16-AF17-AF18</f>
        <v>0</v>
      </c>
      <c r="AJ18" s="190"/>
      <c r="AK18" s="181"/>
      <c r="AL18" s="181"/>
      <c r="AM18" s="181"/>
      <c r="AN18" s="181"/>
      <c r="AO18" s="11"/>
      <c r="AP18" s="11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1:94" s="8" customFormat="1" ht="19.5" customHeight="1">
      <c r="A19" s="12" t="s">
        <v>175</v>
      </c>
      <c r="B19" s="28">
        <f>B21+B22+B23+B24+B25+B26</f>
        <v>7531.561263833334</v>
      </c>
      <c r="C19" s="28">
        <f aca="true" t="shared" si="12" ref="C19:K19">C21+C22+C23+C24+C25+C26</f>
        <v>0</v>
      </c>
      <c r="D19" s="28">
        <f t="shared" si="12"/>
        <v>2646.651349333334</v>
      </c>
      <c r="E19" s="28">
        <f t="shared" si="12"/>
        <v>2481.3017765</v>
      </c>
      <c r="F19" s="28">
        <f>F21+F22+F23+F24+F25+F26</f>
        <v>2403.608138</v>
      </c>
      <c r="G19" s="28">
        <f>G21+G22+G23+G24+G25+G26</f>
        <v>8343.192163333333</v>
      </c>
      <c r="H19" s="28">
        <f>H21+H22+H23+H24+H25+H26</f>
        <v>2135.7530994999997</v>
      </c>
      <c r="I19" s="28">
        <f t="shared" si="12"/>
        <v>2067.3478868333336</v>
      </c>
      <c r="J19" s="28">
        <f t="shared" si="12"/>
        <v>1984.7559515</v>
      </c>
      <c r="K19" s="28">
        <f t="shared" si="12"/>
        <v>2155.3352255</v>
      </c>
      <c r="L19" s="28">
        <f aca="true" t="shared" si="13" ref="L19:AE19">L21+L22+L23+L24+L25+L26</f>
        <v>8343.192163333333</v>
      </c>
      <c r="M19" s="28">
        <f t="shared" si="13"/>
        <v>2135.7530994999997</v>
      </c>
      <c r="N19" s="28">
        <f t="shared" si="13"/>
        <v>2067.3478868333336</v>
      </c>
      <c r="O19" s="28">
        <f t="shared" si="13"/>
        <v>1984.7559515</v>
      </c>
      <c r="P19" s="28">
        <f t="shared" si="13"/>
        <v>2155.3352255</v>
      </c>
      <c r="Q19" s="28">
        <f t="shared" si="13"/>
        <v>8343.192163333333</v>
      </c>
      <c r="R19" s="28">
        <f t="shared" si="13"/>
        <v>2135.7530994999997</v>
      </c>
      <c r="S19" s="28">
        <f t="shared" si="13"/>
        <v>2067.3478868333336</v>
      </c>
      <c r="T19" s="28">
        <f t="shared" si="13"/>
        <v>1984.7559515</v>
      </c>
      <c r="U19" s="28">
        <f t="shared" si="13"/>
        <v>2155.3352255</v>
      </c>
      <c r="V19" s="28">
        <f t="shared" si="9"/>
        <v>8343.192163333333</v>
      </c>
      <c r="W19" s="28">
        <f t="shared" si="13"/>
        <v>2135.7530994999997</v>
      </c>
      <c r="X19" s="28">
        <f t="shared" si="13"/>
        <v>2067.3478868333336</v>
      </c>
      <c r="Y19" s="28">
        <f t="shared" si="13"/>
        <v>1984.7559515</v>
      </c>
      <c r="Z19" s="28">
        <f t="shared" si="13"/>
        <v>2155.3352255</v>
      </c>
      <c r="AA19" s="29">
        <f t="shared" si="5"/>
        <v>0</v>
      </c>
      <c r="AB19" s="28">
        <f t="shared" si="13"/>
        <v>0</v>
      </c>
      <c r="AC19" s="28">
        <f t="shared" si="13"/>
        <v>0</v>
      </c>
      <c r="AD19" s="28">
        <f t="shared" si="13"/>
        <v>0</v>
      </c>
      <c r="AE19" s="28">
        <f t="shared" si="13"/>
        <v>0</v>
      </c>
      <c r="AF19" s="28">
        <f t="shared" si="7"/>
        <v>40904.329917166666</v>
      </c>
      <c r="AG19" s="181"/>
      <c r="AH19" s="189">
        <f t="shared" si="8"/>
        <v>0</v>
      </c>
      <c r="AI19" s="189"/>
      <c r="AJ19" s="190"/>
      <c r="AK19" s="181"/>
      <c r="AL19" s="181"/>
      <c r="AM19" s="181"/>
      <c r="AN19" s="181"/>
      <c r="AO19" s="11"/>
      <c r="AP19" s="11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8" customFormat="1" ht="15.75" customHeight="1">
      <c r="A20" s="12" t="s">
        <v>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f t="shared" si="9"/>
        <v>0</v>
      </c>
      <c r="W20" s="28"/>
      <c r="X20" s="28"/>
      <c r="Y20" s="28"/>
      <c r="Z20" s="28"/>
      <c r="AA20" s="29">
        <f t="shared" si="5"/>
        <v>0</v>
      </c>
      <c r="AB20" s="28"/>
      <c r="AC20" s="28"/>
      <c r="AD20" s="28"/>
      <c r="AE20" s="28"/>
      <c r="AF20" s="28">
        <f t="shared" si="7"/>
        <v>0</v>
      </c>
      <c r="AG20" s="181"/>
      <c r="AH20" s="189">
        <f t="shared" si="8"/>
        <v>0</v>
      </c>
      <c r="AI20" s="189"/>
      <c r="AJ20" s="190"/>
      <c r="AK20" s="181"/>
      <c r="AL20" s="181"/>
      <c r="AM20" s="181"/>
      <c r="AN20" s="181"/>
      <c r="AO20" s="11"/>
      <c r="AP20" s="11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</row>
    <row r="21" spans="1:94" s="8" customFormat="1" ht="19.5" customHeight="1">
      <c r="A21" s="137" t="str">
        <f>'таблицы в текст'!B217</f>
        <v>Расходы на ФОТ</v>
      </c>
      <c r="B21" s="28">
        <f aca="true" t="shared" si="14" ref="B21:B26">SUM(C21:F21)</f>
        <v>6409.900420000001</v>
      </c>
      <c r="C21" s="28">
        <f>IF(C12=0,0,'таблицы в текст'!$C$217*'таблицы в текст'!$B$120)</f>
        <v>0</v>
      </c>
      <c r="D21" s="28">
        <f>IF(D12=0,0,'таблицы в текст'!$C$217*'таблицы в текст'!$C$120)</f>
        <v>2271.8634400000005</v>
      </c>
      <c r="E21" s="28">
        <f>IF(E12=0,0,'таблицы в текст'!$C$217*'таблицы в текст'!$D$120)</f>
        <v>2190.72546</v>
      </c>
      <c r="F21" s="28">
        <f>IF(F12=0,0,'таблицы в текст'!$C$217*'таблицы в текст'!$E$120)</f>
        <v>1947.3115200000002</v>
      </c>
      <c r="G21" s="28">
        <f aca="true" t="shared" si="15" ref="G21:G26">SUM(H21:K21)</f>
        <v>6815.59032</v>
      </c>
      <c r="H21" s="28">
        <f>IF(H12=0,0,'таблицы в текст'!$C$217*'таблицы в текст'!$B$120)*H35</f>
        <v>1703.89758</v>
      </c>
      <c r="I21" s="28">
        <f>IF(I12=0,0,'таблицы в текст'!$C$217*'таблицы в текст'!$B$120)*I35</f>
        <v>1703.89758</v>
      </c>
      <c r="J21" s="28">
        <f>IF(J12=0,0,'таблицы в текст'!$C$217*'таблицы в текст'!$B$120)*J35</f>
        <v>1703.89758</v>
      </c>
      <c r="K21" s="28">
        <f>IF(K12=0,0,'таблицы в текст'!$C$217*'таблицы в текст'!$B$120)*K35</f>
        <v>1703.89758</v>
      </c>
      <c r="L21" s="28">
        <f aca="true" t="shared" si="16" ref="L21:L26">SUM(M21:P21)</f>
        <v>6815.59032</v>
      </c>
      <c r="M21" s="28">
        <f>IF(M12=0,0,'таблицы в текст'!$C$217*'таблицы в текст'!$B$120)*M35</f>
        <v>1703.89758</v>
      </c>
      <c r="N21" s="28">
        <f>IF(N12=0,0,'таблицы в текст'!$C$217*'таблицы в текст'!$B$120)*N35</f>
        <v>1703.89758</v>
      </c>
      <c r="O21" s="28">
        <f>IF(O12=0,0,'таблицы в текст'!$C$217*'таблицы в текст'!$B$120)*O35</f>
        <v>1703.89758</v>
      </c>
      <c r="P21" s="28">
        <f>IF(P12=0,0,'таблицы в текст'!$C$217*'таблицы в текст'!$B$120)*P35</f>
        <v>1703.89758</v>
      </c>
      <c r="Q21" s="28">
        <f aca="true" t="shared" si="17" ref="Q21:Q26">SUM(R21:U21)</f>
        <v>6815.59032</v>
      </c>
      <c r="R21" s="28">
        <f>IF(R12=0,0,'таблицы в текст'!$C$217*'таблицы в текст'!$B$120)*R35</f>
        <v>1703.89758</v>
      </c>
      <c r="S21" s="28">
        <f>IF(S12=0,0,'таблицы в текст'!$C$217*'таблицы в текст'!$B$120)*S35</f>
        <v>1703.89758</v>
      </c>
      <c r="T21" s="28">
        <f>IF(T12=0,0,'таблицы в текст'!$C$217*'таблицы в текст'!$B$120)*T35</f>
        <v>1703.89758</v>
      </c>
      <c r="U21" s="28">
        <f>IF(U12=0,0,'таблицы в текст'!$C$217*'таблицы в текст'!$B$120)*U35</f>
        <v>1703.89758</v>
      </c>
      <c r="V21" s="28">
        <f t="shared" si="9"/>
        <v>6815.59032</v>
      </c>
      <c r="W21" s="28">
        <f>IF(W12=0,0,'таблицы в текст'!$C$217*'таблицы в текст'!$B$120)*W35</f>
        <v>1703.89758</v>
      </c>
      <c r="X21" s="28">
        <f>IF(X12=0,0,'таблицы в текст'!$C$217*'таблицы в текст'!$B$120)*X35</f>
        <v>1703.89758</v>
      </c>
      <c r="Y21" s="28">
        <f>IF(Y12=0,0,'таблицы в текст'!$C$217*'таблицы в текст'!$B$120)*Y35</f>
        <v>1703.89758</v>
      </c>
      <c r="Z21" s="28">
        <f>IF(Z12=0,0,'таблицы в текст'!$C$217*'таблицы в текст'!$B$120)*Z35</f>
        <v>1703.89758</v>
      </c>
      <c r="AA21" s="29">
        <f t="shared" si="5"/>
        <v>0</v>
      </c>
      <c r="AB21" s="28">
        <f>IF(AB12=0,0,'таблицы в текст'!$C$217*'таблицы в текст'!$B$120)*AB35</f>
        <v>0</v>
      </c>
      <c r="AC21" s="28">
        <f>IF(AC12=0,0,'таблицы в текст'!$C$217*'таблицы в текст'!$B$120)*AC35</f>
        <v>0</v>
      </c>
      <c r="AD21" s="28">
        <f>IF(AD12=0,0,'таблицы в текст'!$C$217*'таблицы в текст'!$B$120)*AD35</f>
        <v>0</v>
      </c>
      <c r="AE21" s="28">
        <f>IF(AE12=0,0,'таблицы в текст'!$C$217*'таблицы в текст'!$B$120)*AE35</f>
        <v>0</v>
      </c>
      <c r="AF21" s="28">
        <f t="shared" si="7"/>
        <v>33672.2617</v>
      </c>
      <c r="AG21" s="181"/>
      <c r="AH21" s="189">
        <f t="shared" si="8"/>
        <v>0</v>
      </c>
      <c r="AI21" s="189"/>
      <c r="AJ21" s="190"/>
      <c r="AK21" s="181"/>
      <c r="AL21" s="181"/>
      <c r="AM21" s="181"/>
      <c r="AN21" s="181"/>
      <c r="AO21" s="11"/>
      <c r="AP21" s="11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s="8" customFormat="1" ht="19.5" customHeight="1">
      <c r="A22" s="137" t="str">
        <f>'таблицы в текст'!B220</f>
        <v>Расходы на отопление</v>
      </c>
      <c r="B22" s="28">
        <f t="shared" si="14"/>
        <v>380.32280000000003</v>
      </c>
      <c r="C22" s="28">
        <f>IF(C12=0,0,'таблицы в текст'!$C$220*'таблицы в текст'!$B$120)</f>
        <v>0</v>
      </c>
      <c r="D22" s="28">
        <f>IF(D12=0,0,'таблицы в текст'!$C$220/8*1.5)</f>
        <v>114.09684000000001</v>
      </c>
      <c r="E22" s="28">
        <f>IF(E12=0,0,'таблицы в текст'!$C$220/8*0.5)</f>
        <v>38.03228000000001</v>
      </c>
      <c r="F22" s="28">
        <f>IF(F12=0,0,'таблицы в текст'!$C$220/8*3)</f>
        <v>228.19368000000003</v>
      </c>
      <c r="G22" s="28">
        <f t="shared" si="15"/>
        <v>608.51648</v>
      </c>
      <c r="H22" s="28">
        <f>IF(H12=0,0,'таблицы в текст'!$C$220/8*3)*H37</f>
        <v>228.19368000000003</v>
      </c>
      <c r="I22" s="28">
        <f>IF(I12=0,0,'таблицы в текст'!$C$220/8*1.5)*I37</f>
        <v>114.09684000000001</v>
      </c>
      <c r="J22" s="28">
        <f>IF(J12=0,0,'таблицы в текст'!$C$220/8*0.5)*J37</f>
        <v>38.03228000000001</v>
      </c>
      <c r="K22" s="28">
        <f>IF(K12=0,0,'таблицы в текст'!$C$220/8*3)*K37</f>
        <v>228.19368000000003</v>
      </c>
      <c r="L22" s="28">
        <f t="shared" si="16"/>
        <v>608.51648</v>
      </c>
      <c r="M22" s="28">
        <f>IF(M12=0,0,'таблицы в текст'!$C$220/8*3)*M37</f>
        <v>228.19368000000003</v>
      </c>
      <c r="N22" s="28">
        <f>IF(N12=0,0,'таблицы в текст'!$C$220/8*1.5)*N37</f>
        <v>114.09684000000001</v>
      </c>
      <c r="O22" s="28">
        <f>IF(O12=0,0,'таблицы в текст'!$C$220/8*0.5)*O37</f>
        <v>38.03228000000001</v>
      </c>
      <c r="P22" s="28">
        <f>IF(P12=0,0,'таблицы в текст'!$C$220/8*3)*P37</f>
        <v>228.19368000000003</v>
      </c>
      <c r="Q22" s="28">
        <f t="shared" si="17"/>
        <v>608.51648</v>
      </c>
      <c r="R22" s="28">
        <f>IF(R12=0,0,'таблицы в текст'!$C$220/8*3)*R37</f>
        <v>228.19368000000003</v>
      </c>
      <c r="S22" s="28">
        <f>IF(S12=0,0,'таблицы в текст'!$C$220/8*1.5)*S37</f>
        <v>114.09684000000001</v>
      </c>
      <c r="T22" s="28">
        <f>IF(T12=0,0,'таблицы в текст'!$C$220/8*0.5)*T37</f>
        <v>38.03228000000001</v>
      </c>
      <c r="U22" s="28">
        <f>IF(U12=0,0,'таблицы в текст'!$C$220/8*3)*U37</f>
        <v>228.19368000000003</v>
      </c>
      <c r="V22" s="28">
        <f t="shared" si="9"/>
        <v>608.51648</v>
      </c>
      <c r="W22" s="28">
        <f>IF(W12=0,0,'таблицы в текст'!$C$220/8*3)*W37</f>
        <v>228.19368000000003</v>
      </c>
      <c r="X22" s="28">
        <f>IF(X12=0,0,'таблицы в текст'!$C$220/8*1.5)*X37</f>
        <v>114.09684000000001</v>
      </c>
      <c r="Y22" s="28">
        <f>IF(Y12=0,0,'таблицы в текст'!$C$220/8*0.5)*Y37</f>
        <v>38.03228000000001</v>
      </c>
      <c r="Z22" s="28">
        <f>IF(Z12=0,0,'таблицы в текст'!$C$220/8*3)*Z37</f>
        <v>228.19368000000003</v>
      </c>
      <c r="AA22" s="29">
        <f t="shared" si="5"/>
        <v>0</v>
      </c>
      <c r="AB22" s="28">
        <f>IF(AB12=0,0,'таблицы в текст'!$C$220*'таблицы в текст'!$B$120)*AB37</f>
        <v>0</v>
      </c>
      <c r="AC22" s="28">
        <f>IF(AC12=0,0,'таблицы в текст'!$C$220/8*1.5)*AC37</f>
        <v>0</v>
      </c>
      <c r="AD22" s="28">
        <f>IF(AD12=0,0,'таблицы в текст'!$C$220/8*0.5)*AD37</f>
        <v>0</v>
      </c>
      <c r="AE22" s="28">
        <f>IF(AE12=0,0,'таблицы в текст'!$C$220/8*3)*AE37</f>
        <v>0</v>
      </c>
      <c r="AF22" s="28">
        <f t="shared" si="7"/>
        <v>2814.38872</v>
      </c>
      <c r="AG22" s="181"/>
      <c r="AH22" s="189">
        <f t="shared" si="8"/>
        <v>0</v>
      </c>
      <c r="AI22" s="189"/>
      <c r="AJ22" s="190"/>
      <c r="AK22" s="181"/>
      <c r="AL22" s="181"/>
      <c r="AM22" s="181"/>
      <c r="AN22" s="181"/>
      <c r="AO22" s="11"/>
      <c r="AP22" s="11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s="8" customFormat="1" ht="19.5" customHeight="1">
      <c r="A23" s="137" t="str">
        <f>'таблицы в текст'!B221</f>
        <v>Расходы на аренду</v>
      </c>
      <c r="B23" s="28">
        <f t="shared" si="14"/>
        <v>0</v>
      </c>
      <c r="C23" s="28">
        <f>IF(C12=0,0,'таблицы в текст'!$C$221*'таблицы в текст'!$B$120)</f>
        <v>0</v>
      </c>
      <c r="D23" s="28">
        <f>IF(D12=0,0,'таблицы в текст'!$C$221*'таблицы в текст'!$C$120)</f>
        <v>0</v>
      </c>
      <c r="E23" s="28">
        <f>IF(E12=0,0,'таблицы в текст'!$C$221*'таблицы в текст'!$D$120)</f>
        <v>0</v>
      </c>
      <c r="F23" s="28">
        <f>IF(F12=0,0,'таблицы в текст'!$C$221*'таблицы в текст'!$E$120)</f>
        <v>0</v>
      </c>
      <c r="G23" s="28">
        <f t="shared" si="15"/>
        <v>0</v>
      </c>
      <c r="H23" s="28">
        <f>IF(H12=0,0,'таблицы в текст'!$C$221*'таблицы в текст'!$B$120)*H35</f>
        <v>0</v>
      </c>
      <c r="I23" s="28">
        <f>IF(I12=0,0,'таблицы в текст'!$C$221*'таблицы в текст'!$C$120)*I35</f>
        <v>0</v>
      </c>
      <c r="J23" s="28">
        <f>IF(J12=0,0,'таблицы в текст'!$C$221*'таблицы в текст'!$C$120)*J35</f>
        <v>0</v>
      </c>
      <c r="K23" s="28">
        <f>IF(K12=0,0,'таблицы в текст'!$C$221*'таблицы в текст'!$C$120)*K35</f>
        <v>0</v>
      </c>
      <c r="L23" s="28">
        <f t="shared" si="16"/>
        <v>0</v>
      </c>
      <c r="M23" s="28">
        <f>IF(M12=0,0,'таблицы в текст'!$C$221*'таблицы в текст'!$B$120)*M35</f>
        <v>0</v>
      </c>
      <c r="N23" s="28">
        <f>IF(N12=0,0,'таблицы в текст'!$C$221*'таблицы в текст'!$C$120)*N35</f>
        <v>0</v>
      </c>
      <c r="O23" s="28">
        <f>IF(O12=0,0,'таблицы в текст'!$C$221*'таблицы в текст'!$C$120)*O35</f>
        <v>0</v>
      </c>
      <c r="P23" s="28">
        <f>IF(P12=0,0,'таблицы в текст'!$C$221*'таблицы в текст'!$C$120)*P35</f>
        <v>0</v>
      </c>
      <c r="Q23" s="28">
        <f t="shared" si="17"/>
        <v>0</v>
      </c>
      <c r="R23" s="28">
        <f>IF(R12=0,0,'таблицы в текст'!$C$221*'таблицы в текст'!$B$120)*R35</f>
        <v>0</v>
      </c>
      <c r="S23" s="28">
        <f>IF(S12=0,0,'таблицы в текст'!$C$221*'таблицы в текст'!$C$120)*S35</f>
        <v>0</v>
      </c>
      <c r="T23" s="28">
        <f>IF(T12=0,0,'таблицы в текст'!$C$221*'таблицы в текст'!$C$120)*T35</f>
        <v>0</v>
      </c>
      <c r="U23" s="28">
        <f>IF(U12=0,0,'таблицы в текст'!$C$221*'таблицы в текст'!$C$120)*U35</f>
        <v>0</v>
      </c>
      <c r="V23" s="28">
        <f t="shared" si="9"/>
        <v>0</v>
      </c>
      <c r="W23" s="28">
        <f>IF(W12=0,0,'таблицы в текст'!$C$221*'таблицы в текст'!$B$120)*W35</f>
        <v>0</v>
      </c>
      <c r="X23" s="28">
        <f>IF(X12=0,0,'таблицы в текст'!$C$221*'таблицы в текст'!$C$120)*X35</f>
        <v>0</v>
      </c>
      <c r="Y23" s="28">
        <f>IF(Y12=0,0,'таблицы в текст'!$C$221*'таблицы в текст'!$C$120)*Y35</f>
        <v>0</v>
      </c>
      <c r="Z23" s="28">
        <f>IF(Z12=0,0,'таблицы в текст'!$C$221*'таблицы в текст'!$C$120)*Z35</f>
        <v>0</v>
      </c>
      <c r="AA23" s="29">
        <f t="shared" si="5"/>
        <v>0</v>
      </c>
      <c r="AB23" s="28">
        <f>IF(AB12=0,0,'таблицы в текст'!$C$221*'таблицы в текст'!$B$120)*AB35</f>
        <v>0</v>
      </c>
      <c r="AC23" s="28">
        <f>IF(AC12=0,0,'таблицы в текст'!$C$221*'таблицы в текст'!$C$120)*AC35</f>
        <v>0</v>
      </c>
      <c r="AD23" s="28">
        <f>IF(AD12=0,0,'таблицы в текст'!$C$221*'таблицы в текст'!$C$120)*AD35</f>
        <v>0</v>
      </c>
      <c r="AE23" s="28">
        <f>IF(AE12=0,0,'таблицы в текст'!$C$221*'таблицы в текст'!$C$120)*AE35</f>
        <v>0</v>
      </c>
      <c r="AF23" s="28">
        <f t="shared" si="7"/>
        <v>0</v>
      </c>
      <c r="AG23" s="181"/>
      <c r="AH23" s="189">
        <f t="shared" si="8"/>
        <v>0</v>
      </c>
      <c r="AI23" s="189"/>
      <c r="AJ23" s="190"/>
      <c r="AK23" s="181"/>
      <c r="AL23" s="181"/>
      <c r="AM23" s="181"/>
      <c r="AN23" s="181"/>
      <c r="AO23" s="11"/>
      <c r="AP23" s="11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s="8" customFormat="1" ht="19.5" customHeight="1">
      <c r="A24" s="137" t="str">
        <f>'таблицы в текст'!B222</f>
        <v>Амортизация</v>
      </c>
      <c r="B24" s="28">
        <f t="shared" si="14"/>
        <v>515.6626513333334</v>
      </c>
      <c r="C24" s="28">
        <f>IF(C12=0,0,'таблицы в текст'!$C$222*'таблицы в текст'!$B$120)</f>
        <v>0</v>
      </c>
      <c r="D24" s="28">
        <f>IF(D12=0,0,'таблицы в текст'!$C$222*'таблицы в текст'!$C$120)</f>
        <v>182.76650933333337</v>
      </c>
      <c r="E24" s="28">
        <f>IF(E12=0,0,'таблицы в текст'!$C$222*'таблицы в текст'!$D$120)</f>
        <v>176.23913400000004</v>
      </c>
      <c r="F24" s="28">
        <f>IF(F12=0,0,'таблицы в текст'!$C$222*'таблицы в текст'!$E$120)</f>
        <v>156.65700800000002</v>
      </c>
      <c r="G24" s="28">
        <f t="shared" si="15"/>
        <v>652.7375333333334</v>
      </c>
      <c r="H24" s="28">
        <f>IF(H12=0,0,'таблицы в текст'!$C$222*'таблицы в текст'!$B$120)</f>
        <v>137.074882</v>
      </c>
      <c r="I24" s="28">
        <f>IF(I12=0,0,'таблицы в текст'!$C$222*'таблицы в текст'!$C$120)</f>
        <v>182.76650933333337</v>
      </c>
      <c r="J24" s="28">
        <f>IF(J12=0,0,'таблицы в текст'!$C$222*'таблицы в текст'!$D$120)</f>
        <v>176.23913400000004</v>
      </c>
      <c r="K24" s="28">
        <f>IF(K12=0,0,'таблицы в текст'!$C$222*'таблицы в текст'!$E$120)</f>
        <v>156.65700800000002</v>
      </c>
      <c r="L24" s="28">
        <f t="shared" si="16"/>
        <v>652.7375333333334</v>
      </c>
      <c r="M24" s="28">
        <f>IF(M12=0,0,'таблицы в текст'!$C$222*'таблицы в текст'!$B$120)</f>
        <v>137.074882</v>
      </c>
      <c r="N24" s="28">
        <f>IF(N12=0,0,'таблицы в текст'!$C$222*'таблицы в текст'!$C$120)</f>
        <v>182.76650933333337</v>
      </c>
      <c r="O24" s="28">
        <f>IF(O12=0,0,'таблицы в текст'!$C$222*'таблицы в текст'!$D$120)</f>
        <v>176.23913400000004</v>
      </c>
      <c r="P24" s="28">
        <f>IF(P12=0,0,'таблицы в текст'!$C$222*'таблицы в текст'!$E$120)</f>
        <v>156.65700800000002</v>
      </c>
      <c r="Q24" s="28">
        <f t="shared" si="17"/>
        <v>652.7375333333334</v>
      </c>
      <c r="R24" s="28">
        <f>IF(R12=0,0,'таблицы в текст'!$C$222*'таблицы в текст'!$B$120)</f>
        <v>137.074882</v>
      </c>
      <c r="S24" s="28">
        <f>IF(S12=0,0,'таблицы в текст'!$C$222*'таблицы в текст'!$C$120)</f>
        <v>182.76650933333337</v>
      </c>
      <c r="T24" s="28">
        <f>IF(T12=0,0,'таблицы в текст'!$C$222*'таблицы в текст'!$D$120)</f>
        <v>176.23913400000004</v>
      </c>
      <c r="U24" s="28">
        <f>IF(U12=0,0,'таблицы в текст'!$C$222*'таблицы в текст'!$E$120)</f>
        <v>156.65700800000002</v>
      </c>
      <c r="V24" s="28">
        <f t="shared" si="9"/>
        <v>652.7375333333334</v>
      </c>
      <c r="W24" s="28">
        <f>IF(W12=0,0,'таблицы в текст'!$C$222*'таблицы в текст'!$B$120)</f>
        <v>137.074882</v>
      </c>
      <c r="X24" s="28">
        <f>IF(X12=0,0,'таблицы в текст'!$C$222*'таблицы в текст'!$C$120)</f>
        <v>182.76650933333337</v>
      </c>
      <c r="Y24" s="28">
        <f>IF(Y12=0,0,'таблицы в текст'!$C$222*'таблицы в текст'!$D$120)</f>
        <v>176.23913400000004</v>
      </c>
      <c r="Z24" s="28">
        <f>IF(Z12=0,0,'таблицы в текст'!$C$222*'таблицы в текст'!$E$120)</f>
        <v>156.65700800000002</v>
      </c>
      <c r="AA24" s="29">
        <f t="shared" si="5"/>
        <v>0</v>
      </c>
      <c r="AB24" s="28">
        <f>IF(AB12=0,0,'таблицы в текст'!$C$222*'таблицы в текст'!$B$120)</f>
        <v>0</v>
      </c>
      <c r="AC24" s="28">
        <f>IF(AC12=0,0,'таблицы в текст'!$C$222*'таблицы в текст'!$C$120)</f>
        <v>0</v>
      </c>
      <c r="AD24" s="28">
        <f>IF(AD12=0,0,'таблицы в текст'!$C$222*'таблицы в текст'!$D$120)</f>
        <v>0</v>
      </c>
      <c r="AE24" s="28">
        <f>IF(AE12=0,0,'таблицы в текст'!$C$222*'таблицы в текст'!$E$120)</f>
        <v>0</v>
      </c>
      <c r="AF24" s="28">
        <f t="shared" si="7"/>
        <v>3126.6127846666673</v>
      </c>
      <c r="AG24" s="181"/>
      <c r="AH24" s="189">
        <f t="shared" si="8"/>
        <v>0</v>
      </c>
      <c r="AI24" s="189"/>
      <c r="AJ24" s="190"/>
      <c r="AK24" s="181"/>
      <c r="AL24" s="181"/>
      <c r="AM24" s="181"/>
      <c r="AN24" s="181"/>
      <c r="AO24" s="11"/>
      <c r="AP24" s="11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</row>
    <row r="25" spans="1:94" s="8" customFormat="1" ht="19.5" customHeight="1">
      <c r="A25" s="137" t="str">
        <f>'таблицы в текст'!B223</f>
        <v>Прочие расходы</v>
      </c>
      <c r="B25" s="28">
        <f t="shared" si="14"/>
        <v>127.9529425</v>
      </c>
      <c r="C25" s="28">
        <f>IF(C12=0,0,'таблицы в текст'!$C$223*'таблицы в текст'!$B$120)</f>
        <v>0</v>
      </c>
      <c r="D25" s="28">
        <f>IF(D12=0,0,'таблицы в текст'!$C$223*'таблицы в текст'!$C$120)</f>
        <v>45.350410000000004</v>
      </c>
      <c r="E25" s="28">
        <f>IF(E12=0,0,'таблицы в текст'!$C$223*'таблицы в текст'!$D$120)</f>
        <v>43.7307525</v>
      </c>
      <c r="F25" s="28">
        <f>IF(F12=0,0,'таблицы в текст'!$C$223*'таблицы в текст'!$E$120)</f>
        <v>38.871779999999994</v>
      </c>
      <c r="G25" s="28">
        <f t="shared" si="15"/>
        <v>136.05122999999998</v>
      </c>
      <c r="H25" s="28">
        <f>IF(H12=0,0,'таблицы в текст'!$C$223*'таблицы в текст'!$B$120)*H35</f>
        <v>34.012807499999994</v>
      </c>
      <c r="I25" s="28">
        <f>IF(I12=0,0,'таблицы в текст'!$C$223*'таблицы в текст'!$B$120)*I35</f>
        <v>34.012807499999994</v>
      </c>
      <c r="J25" s="28">
        <f>IF(J12=0,0,'таблицы в текст'!$C$223*'таблицы в текст'!$B$120)*J35</f>
        <v>34.012807499999994</v>
      </c>
      <c r="K25" s="28">
        <f>IF(K12=0,0,'таблицы в текст'!$C$223*'таблицы в текст'!$B$120)*K35</f>
        <v>34.012807499999994</v>
      </c>
      <c r="L25" s="28">
        <f t="shared" si="16"/>
        <v>136.05122999999998</v>
      </c>
      <c r="M25" s="28">
        <f>IF(M12=0,0,'таблицы в текст'!$C$223*'таблицы в текст'!$B$120)*M35</f>
        <v>34.012807499999994</v>
      </c>
      <c r="N25" s="28">
        <f>IF(N12=0,0,'таблицы в текст'!$C$223*'таблицы в текст'!$B$120)*N35</f>
        <v>34.012807499999994</v>
      </c>
      <c r="O25" s="28">
        <f>IF(O12=0,0,'таблицы в текст'!$C$223*'таблицы в текст'!$B$120)*O35</f>
        <v>34.012807499999994</v>
      </c>
      <c r="P25" s="28">
        <f>IF(P12=0,0,'таблицы в текст'!$C$223*'таблицы в текст'!$B$120)*P35</f>
        <v>34.012807499999994</v>
      </c>
      <c r="Q25" s="28">
        <f t="shared" si="17"/>
        <v>136.05122999999998</v>
      </c>
      <c r="R25" s="28">
        <f>IF(R12=0,0,'таблицы в текст'!$C$223*'таблицы в текст'!$B$120)*R35</f>
        <v>34.012807499999994</v>
      </c>
      <c r="S25" s="28">
        <f>IF(S12=0,0,'таблицы в текст'!$C$223*'таблицы в текст'!$B$120)*S35</f>
        <v>34.012807499999994</v>
      </c>
      <c r="T25" s="28">
        <f>IF(T12=0,0,'таблицы в текст'!$C$223*'таблицы в текст'!$B$120)*T35</f>
        <v>34.012807499999994</v>
      </c>
      <c r="U25" s="28">
        <f>IF(U12=0,0,'таблицы в текст'!$C$223*'таблицы в текст'!$B$120)*U35</f>
        <v>34.012807499999994</v>
      </c>
      <c r="V25" s="28">
        <f t="shared" si="9"/>
        <v>136.05122999999998</v>
      </c>
      <c r="W25" s="28">
        <f>IF(W12=0,0,'таблицы в текст'!$C$223*'таблицы в текст'!$B$120)*W35</f>
        <v>34.012807499999994</v>
      </c>
      <c r="X25" s="28">
        <f>IF(X12=0,0,'таблицы в текст'!$C$223*'таблицы в текст'!$B$120)*X35</f>
        <v>34.012807499999994</v>
      </c>
      <c r="Y25" s="28">
        <f>IF(Y12=0,0,'таблицы в текст'!$C$223*'таблицы в текст'!$B$120)*Y35</f>
        <v>34.012807499999994</v>
      </c>
      <c r="Z25" s="28">
        <f>IF(Z12=0,0,'таблицы в текст'!$C$223*'таблицы в текст'!$B$120)*Z35</f>
        <v>34.012807499999994</v>
      </c>
      <c r="AA25" s="29">
        <f t="shared" si="5"/>
        <v>0</v>
      </c>
      <c r="AB25" s="28">
        <f>IF(AB12=0,0,'таблицы в текст'!$C$223*'таблицы в текст'!$B$120)*AB35</f>
        <v>0</v>
      </c>
      <c r="AC25" s="28">
        <f>IF(AC12=0,0,'таблицы в текст'!$C$223*'таблицы в текст'!$B$120)*AC35</f>
        <v>0</v>
      </c>
      <c r="AD25" s="28">
        <f>IF(AD12=0,0,'таблицы в текст'!$C$223*'таблицы в текст'!$B$120)*AD35</f>
        <v>0</v>
      </c>
      <c r="AE25" s="28">
        <f>IF(AE12=0,0,'таблицы в текст'!$C$223*'таблицы в текст'!$B$120)*AE35</f>
        <v>0</v>
      </c>
      <c r="AF25" s="28">
        <f t="shared" si="7"/>
        <v>672.1578625</v>
      </c>
      <c r="AG25" s="181"/>
      <c r="AH25" s="189">
        <f t="shared" si="8"/>
        <v>0</v>
      </c>
      <c r="AI25" s="189"/>
      <c r="AJ25" s="190"/>
      <c r="AK25" s="181"/>
      <c r="AL25" s="181"/>
      <c r="AM25" s="181"/>
      <c r="AN25" s="181"/>
      <c r="AO25" s="11"/>
      <c r="AP25" s="11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</row>
    <row r="26" spans="1:94" s="8" customFormat="1" ht="19.5" customHeight="1">
      <c r="A26" s="137" t="s">
        <v>182</v>
      </c>
      <c r="B26" s="28">
        <f t="shared" si="14"/>
        <v>97.72245000000001</v>
      </c>
      <c r="C26" s="28">
        <f>IF(C12=0,0,'таблицы в текст'!$C$233+'таблицы в текст'!$C$234)</f>
        <v>0</v>
      </c>
      <c r="D26" s="28">
        <f>IF(D12=0,0,'таблицы в текст'!$D$233+'таблицы в текст'!$D$234)</f>
        <v>32.57415</v>
      </c>
      <c r="E26" s="28">
        <f>IF(E12=0,0,'таблицы в текст'!$E$233+'таблицы в текст'!$E$234)</f>
        <v>32.57415</v>
      </c>
      <c r="F26" s="28">
        <f>IF(F12=0,0,'таблицы в текст'!$F$233+'таблицы в текст'!$F$234)</f>
        <v>32.57415</v>
      </c>
      <c r="G26" s="28">
        <f t="shared" si="15"/>
        <v>130.2966</v>
      </c>
      <c r="H26" s="28">
        <f>IF(H12=0,0,'таблицы в текст'!$C$233+'таблицы в текст'!$C$234)</f>
        <v>32.57415</v>
      </c>
      <c r="I26" s="28">
        <f>IF(I12=0,0,'таблицы в текст'!$D$233+'таблицы в текст'!$D$234)</f>
        <v>32.57415</v>
      </c>
      <c r="J26" s="28">
        <f>IF(J12=0,0,'таблицы в текст'!$E$233+'таблицы в текст'!$E$234)</f>
        <v>32.57415</v>
      </c>
      <c r="K26" s="28">
        <f>IF(K12=0,0,'таблицы в текст'!$F$233+'таблицы в текст'!$F$234)</f>
        <v>32.57415</v>
      </c>
      <c r="L26" s="28">
        <f t="shared" si="16"/>
        <v>130.2966</v>
      </c>
      <c r="M26" s="28">
        <f>IF(M12=0,0,'таблицы в текст'!$C$233+'таблицы в текст'!$C$234)</f>
        <v>32.57415</v>
      </c>
      <c r="N26" s="28">
        <f>IF(N12=0,0,'таблицы в текст'!$D$233+'таблицы в текст'!$D$234)</f>
        <v>32.57415</v>
      </c>
      <c r="O26" s="28">
        <f>IF(O12=0,0,'таблицы в текст'!$E$233+'таблицы в текст'!$E$234)</f>
        <v>32.57415</v>
      </c>
      <c r="P26" s="28">
        <f>IF(P12=0,0,'таблицы в текст'!$F$233+'таблицы в текст'!$F$234)</f>
        <v>32.57415</v>
      </c>
      <c r="Q26" s="28">
        <f t="shared" si="17"/>
        <v>130.2966</v>
      </c>
      <c r="R26" s="28">
        <f>IF(R12=0,0,'таблицы в текст'!$C$233+'таблицы в текст'!$C$234)</f>
        <v>32.57415</v>
      </c>
      <c r="S26" s="28">
        <f>IF(S12=0,0,'таблицы в текст'!$D$233+'таблицы в текст'!$D$234)</f>
        <v>32.57415</v>
      </c>
      <c r="T26" s="28">
        <f>IF(T12=0,0,'таблицы в текст'!$E$233+'таблицы в текст'!$E$234)</f>
        <v>32.57415</v>
      </c>
      <c r="U26" s="28">
        <f>IF(U12=0,0,'таблицы в текст'!$F$233+'таблицы в текст'!$F$234)</f>
        <v>32.57415</v>
      </c>
      <c r="V26" s="28">
        <f t="shared" si="9"/>
        <v>130.2966</v>
      </c>
      <c r="W26" s="28">
        <f>IF(W12=0,0,'таблицы в текст'!$C$233+'таблицы в текст'!$C$234)</f>
        <v>32.57415</v>
      </c>
      <c r="X26" s="28">
        <f>IF(X12=0,0,'таблицы в текст'!$D$233+'таблицы в текст'!$D$234)</f>
        <v>32.57415</v>
      </c>
      <c r="Y26" s="28">
        <f>IF(Y12=0,0,'таблицы в текст'!$E$233+'таблицы в текст'!$E$234)</f>
        <v>32.57415</v>
      </c>
      <c r="Z26" s="28">
        <f>IF(Z12=0,0,'таблицы в текст'!$F$233+'таблицы в текст'!$F$234)</f>
        <v>32.57415</v>
      </c>
      <c r="AA26" s="29">
        <f t="shared" si="5"/>
        <v>0</v>
      </c>
      <c r="AB26" s="28">
        <f>IF(AB12=0,0,'таблицы в текст'!$C$233+'таблицы в текст'!$C$234)</f>
        <v>0</v>
      </c>
      <c r="AC26" s="28">
        <f>IF(AC12=0,0,'таблицы в текст'!$D$233+'таблицы в текст'!$D$234)</f>
        <v>0</v>
      </c>
      <c r="AD26" s="28">
        <f>IF(AD12=0,0,'таблицы в текст'!$E$233+'таблицы в текст'!$E$234)</f>
        <v>0</v>
      </c>
      <c r="AE26" s="28">
        <f>IF(AE12=0,0,'таблицы в текст'!$F$233+'таблицы в текст'!$F$234)</f>
        <v>0</v>
      </c>
      <c r="AF26" s="28">
        <f t="shared" si="7"/>
        <v>618.90885</v>
      </c>
      <c r="AG26" s="181"/>
      <c r="AH26" s="189">
        <f t="shared" si="8"/>
        <v>0</v>
      </c>
      <c r="AI26" s="189"/>
      <c r="AJ26" s="190"/>
      <c r="AK26" s="181"/>
      <c r="AL26" s="181"/>
      <c r="AM26" s="181"/>
      <c r="AN26" s="181"/>
      <c r="AO26" s="11"/>
      <c r="AP26" s="11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</row>
    <row r="27" spans="1:94" s="8" customFormat="1" ht="16.5" customHeight="1">
      <c r="A27" s="19" t="s">
        <v>181</v>
      </c>
      <c r="B27" s="28">
        <f aca="true" t="shared" si="18" ref="B27:AE27">B18-B19</f>
        <v>5493.706719122219</v>
      </c>
      <c r="C27" s="28">
        <f t="shared" si="18"/>
        <v>0</v>
      </c>
      <c r="D27" s="28">
        <f t="shared" si="18"/>
        <v>1969.8993281699004</v>
      </c>
      <c r="E27" s="28">
        <f t="shared" si="18"/>
        <v>1970.3720910924044</v>
      </c>
      <c r="F27" s="28">
        <f t="shared" si="18"/>
        <v>1553.4352998599147</v>
      </c>
      <c r="G27" s="28">
        <f t="shared" si="18"/>
        <v>9224.622894622222</v>
      </c>
      <c r="H27" s="28">
        <f t="shared" si="18"/>
        <v>1690.8996854012098</v>
      </c>
      <c r="I27" s="28">
        <f t="shared" si="18"/>
        <v>2802.9374757682067</v>
      </c>
      <c r="J27" s="28">
        <f t="shared" si="18"/>
        <v>2711.590648151485</v>
      </c>
      <c r="K27" s="28">
        <f t="shared" si="18"/>
        <v>2019.1950853013195</v>
      </c>
      <c r="L27" s="28">
        <f t="shared" si="18"/>
        <v>10103.013647519998</v>
      </c>
      <c r="M27" s="28">
        <f t="shared" si="18"/>
        <v>1882.2323246462706</v>
      </c>
      <c r="N27" s="28">
        <f t="shared" si="18"/>
        <v>3046.4517438982834</v>
      </c>
      <c r="O27" s="28">
        <f t="shared" si="18"/>
        <v>2946.407978134059</v>
      </c>
      <c r="P27" s="28">
        <f t="shared" si="18"/>
        <v>2227.921600841386</v>
      </c>
      <c r="Q27" s="28">
        <f t="shared" si="18"/>
        <v>11025.32393806267</v>
      </c>
      <c r="R27" s="28">
        <f t="shared" si="18"/>
        <v>2083.1315958535843</v>
      </c>
      <c r="S27" s="28">
        <f t="shared" si="18"/>
        <v>3302.141725434864</v>
      </c>
      <c r="T27" s="28">
        <f t="shared" si="18"/>
        <v>3192.9661746157617</v>
      </c>
      <c r="U27" s="28">
        <f t="shared" si="18"/>
        <v>2447.084442158455</v>
      </c>
      <c r="V27" s="28">
        <f t="shared" si="9"/>
        <v>11993.749743132466</v>
      </c>
      <c r="W27" s="28">
        <f t="shared" si="18"/>
        <v>2294.075830621263</v>
      </c>
      <c r="X27" s="28">
        <f t="shared" si="18"/>
        <v>3570.6162060482743</v>
      </c>
      <c r="Y27" s="28">
        <f t="shared" si="18"/>
        <v>3451.85228092155</v>
      </c>
      <c r="Z27" s="28">
        <f t="shared" si="18"/>
        <v>2677.2054255413786</v>
      </c>
      <c r="AA27" s="29">
        <f t="shared" si="5"/>
        <v>0</v>
      </c>
      <c r="AB27" s="28">
        <f t="shared" si="18"/>
        <v>0</v>
      </c>
      <c r="AC27" s="28">
        <f t="shared" si="18"/>
        <v>0</v>
      </c>
      <c r="AD27" s="28">
        <f t="shared" si="18"/>
        <v>0</v>
      </c>
      <c r="AE27" s="28">
        <f t="shared" si="18"/>
        <v>0</v>
      </c>
      <c r="AF27" s="28">
        <f t="shared" si="7"/>
        <v>47840.416942459575</v>
      </c>
      <c r="AG27" s="181"/>
      <c r="AH27" s="189">
        <f t="shared" si="8"/>
        <v>0</v>
      </c>
      <c r="AI27" s="189"/>
      <c r="AJ27" s="190"/>
      <c r="AK27" s="181"/>
      <c r="AL27" s="181"/>
      <c r="AM27" s="181"/>
      <c r="AN27" s="181"/>
      <c r="AO27" s="11"/>
      <c r="AP27" s="11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</row>
    <row r="28" spans="1:94" s="127" customFormat="1" ht="33" customHeight="1">
      <c r="A28" s="19" t="s">
        <v>40</v>
      </c>
      <c r="B28" s="29">
        <f>SUM(C28:F28)</f>
        <v>288.4245954442943</v>
      </c>
      <c r="C28" s="29">
        <f>IF(C12=0,0,'таблицы в текст'!C271)</f>
        <v>0</v>
      </c>
      <c r="D28" s="29">
        <f>IF(D12=0,0,'таблицы в текст'!D271)</f>
        <v>99.72602739726027</v>
      </c>
      <c r="E28" s="29">
        <f>IF(E12=0,0,'таблицы в текст'!E271)</f>
        <v>96.52832187199395</v>
      </c>
      <c r="F28" s="29">
        <f>IF(F12=0,0,'таблицы в текст'!F271)</f>
        <v>92.17024617504008</v>
      </c>
      <c r="G28" s="29">
        <f>SUM(H28:K28)</f>
        <v>320.35049539918435</v>
      </c>
      <c r="H28" s="29">
        <f>IF(H12=0,0,'таблицы в текст'!C278)</f>
        <v>85.81724272970428</v>
      </c>
      <c r="I28" s="29">
        <f>IF(I12=0,0,'таблицы в текст'!D278)</f>
        <v>82.24642766558004</v>
      </c>
      <c r="J28" s="29">
        <f>IF(J12=0,0,'таблицы в текст'!E278)</f>
        <v>78.50417327328516</v>
      </c>
      <c r="K28" s="29">
        <f>IF(K12=0,0,'таблицы в текст'!F278)</f>
        <v>73.78265173061486</v>
      </c>
      <c r="L28" s="29">
        <f>SUM(M28:P28)</f>
        <v>243.66619821569597</v>
      </c>
      <c r="M28" s="29">
        <f>'таблицы в текст'!C285</f>
        <v>67.46666440750785</v>
      </c>
      <c r="N28" s="29">
        <f>'таблицы в текст'!D285</f>
        <v>63.32594797338956</v>
      </c>
      <c r="O28" s="29">
        <f>'таблицы в текст'!E285</f>
        <v>58.99425641215623</v>
      </c>
      <c r="P28" s="29">
        <f>'таблицы в текст'!F285</f>
        <v>53.87932942264232</v>
      </c>
      <c r="Q28" s="29">
        <f>SUM(R28:U28)</f>
        <v>160.66065404751598</v>
      </c>
      <c r="R28" s="29">
        <f>'таблицы в текст'!C292</f>
        <v>47.603409538130286</v>
      </c>
      <c r="S28" s="29">
        <f>'таблицы в текст'!D292</f>
        <v>42.84581357226958</v>
      </c>
      <c r="T28" s="29">
        <f>'таблицы в текст'!E292</f>
        <v>37.87609630358771</v>
      </c>
      <c r="U28" s="29">
        <f>'таблицы в текст'!F292</f>
        <v>32.335334633528426</v>
      </c>
      <c r="V28" s="28">
        <f t="shared" si="9"/>
        <v>70.81278928623846</v>
      </c>
      <c r="W28" s="29">
        <f>'таблицы в текст'!C299</f>
        <v>26.102785030366714</v>
      </c>
      <c r="X28" s="29">
        <f>'таблицы в текст'!D299</f>
        <v>20.67745886289807</v>
      </c>
      <c r="Y28" s="29">
        <f>'таблицы в текст'!E299</f>
        <v>15.017122093416285</v>
      </c>
      <c r="Z28" s="29">
        <f>'таблицы в текст'!F299</f>
        <v>9.015423299557384</v>
      </c>
      <c r="AA28" s="29">
        <f>SUM(AB28:AE28)</f>
        <v>0</v>
      </c>
      <c r="AB28" s="29">
        <f>'таблицы в текст'!C306</f>
        <v>0</v>
      </c>
      <c r="AC28" s="29">
        <f>'таблицы в текст'!D306</f>
        <v>0</v>
      </c>
      <c r="AD28" s="29">
        <f>'таблицы в текст'!E306</f>
        <v>0</v>
      </c>
      <c r="AE28" s="29">
        <f>'таблицы в текст'!F306</f>
        <v>0</v>
      </c>
      <c r="AF28" s="28">
        <f t="shared" si="7"/>
        <v>1083.914732392929</v>
      </c>
      <c r="AG28" s="191"/>
      <c r="AH28" s="189">
        <f t="shared" si="8"/>
        <v>0</v>
      </c>
      <c r="AI28" s="189">
        <f>AF28-'таблицы в текст'!C309+'таблицы в текст'!C271</f>
        <v>-1.5631940186722204E-13</v>
      </c>
      <c r="AJ28" s="190"/>
      <c r="AK28" s="191"/>
      <c r="AL28" s="191"/>
      <c r="AM28" s="191"/>
      <c r="AN28" s="191"/>
      <c r="AO28" s="6"/>
      <c r="AP28" s="6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</row>
    <row r="29" spans="1:94" s="127" customFormat="1" ht="18.75" customHeight="1">
      <c r="A29" s="12" t="s">
        <v>41</v>
      </c>
      <c r="B29" s="28">
        <f>B27-B28</f>
        <v>5205.282123677925</v>
      </c>
      <c r="C29" s="28">
        <f aca="true" t="shared" si="19" ref="C29:AE29">C27-C28</f>
        <v>0</v>
      </c>
      <c r="D29" s="28">
        <f t="shared" si="19"/>
        <v>1870.1733007726402</v>
      </c>
      <c r="E29" s="28">
        <f t="shared" si="19"/>
        <v>1873.8437692204104</v>
      </c>
      <c r="F29" s="28">
        <f t="shared" si="19"/>
        <v>1461.2650536848746</v>
      </c>
      <c r="G29" s="28">
        <f t="shared" si="19"/>
        <v>8904.272399223037</v>
      </c>
      <c r="H29" s="28">
        <f t="shared" si="19"/>
        <v>1605.0824426715055</v>
      </c>
      <c r="I29" s="28">
        <f t="shared" si="19"/>
        <v>2720.6910481026266</v>
      </c>
      <c r="J29" s="28">
        <f t="shared" si="19"/>
        <v>2633.0864748781996</v>
      </c>
      <c r="K29" s="28">
        <f t="shared" si="19"/>
        <v>1945.4124335707047</v>
      </c>
      <c r="L29" s="28">
        <f t="shared" si="19"/>
        <v>9859.347449304301</v>
      </c>
      <c r="M29" s="28">
        <f t="shared" si="19"/>
        <v>1814.7656602387628</v>
      </c>
      <c r="N29" s="28">
        <f t="shared" si="19"/>
        <v>2983.1257959248937</v>
      </c>
      <c r="O29" s="28">
        <f t="shared" si="19"/>
        <v>2887.4137217219027</v>
      </c>
      <c r="P29" s="28">
        <f t="shared" si="19"/>
        <v>2174.0422714187434</v>
      </c>
      <c r="Q29" s="28">
        <f t="shared" si="19"/>
        <v>10864.663284015152</v>
      </c>
      <c r="R29" s="28">
        <f t="shared" si="19"/>
        <v>2035.528186315454</v>
      </c>
      <c r="S29" s="28">
        <f t="shared" si="19"/>
        <v>3259.2959118625945</v>
      </c>
      <c r="T29" s="28">
        <f t="shared" si="19"/>
        <v>3155.090078312174</v>
      </c>
      <c r="U29" s="28">
        <f t="shared" si="19"/>
        <v>2414.749107524927</v>
      </c>
      <c r="V29" s="28">
        <f t="shared" si="9"/>
        <v>11922.936953846229</v>
      </c>
      <c r="W29" s="28">
        <f t="shared" si="19"/>
        <v>2267.973045590896</v>
      </c>
      <c r="X29" s="28">
        <f t="shared" si="19"/>
        <v>3549.938747185376</v>
      </c>
      <c r="Y29" s="28">
        <f t="shared" si="19"/>
        <v>3436.835158828134</v>
      </c>
      <c r="Z29" s="28">
        <f t="shared" si="19"/>
        <v>2668.1900022418213</v>
      </c>
      <c r="AA29" s="29">
        <f>SUM(AB29:AE29)</f>
        <v>0</v>
      </c>
      <c r="AB29" s="28">
        <f t="shared" si="19"/>
        <v>0</v>
      </c>
      <c r="AC29" s="28">
        <f t="shared" si="19"/>
        <v>0</v>
      </c>
      <c r="AD29" s="28">
        <f t="shared" si="19"/>
        <v>0</v>
      </c>
      <c r="AE29" s="28">
        <f t="shared" si="19"/>
        <v>0</v>
      </c>
      <c r="AF29" s="28">
        <f t="shared" si="7"/>
        <v>46756.50221006665</v>
      </c>
      <c r="AG29" s="191"/>
      <c r="AH29" s="189">
        <f t="shared" si="8"/>
        <v>0</v>
      </c>
      <c r="AI29" s="189">
        <f>AF12-AF13-AF19-AF28-AF29</f>
        <v>0</v>
      </c>
      <c r="AJ29" s="190"/>
      <c r="AK29" s="191"/>
      <c r="AL29" s="191"/>
      <c r="AM29" s="191"/>
      <c r="AN29" s="191"/>
      <c r="AO29" s="6"/>
      <c r="AP29" s="6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</row>
    <row r="30" spans="1:94" s="127" customFormat="1" ht="18.75" customHeight="1">
      <c r="A30" s="12" t="s">
        <v>187</v>
      </c>
      <c r="B30" s="28">
        <f aca="true" t="shared" si="20" ref="B30:AE30">B31+B32</f>
        <v>0</v>
      </c>
      <c r="C30" s="28">
        <f t="shared" si="20"/>
        <v>0</v>
      </c>
      <c r="D30" s="28">
        <f t="shared" si="20"/>
        <v>0</v>
      </c>
      <c r="E30" s="28">
        <f t="shared" si="20"/>
        <v>0</v>
      </c>
      <c r="F30" s="28">
        <f t="shared" si="20"/>
        <v>0</v>
      </c>
      <c r="G30" s="28">
        <f t="shared" si="20"/>
        <v>0</v>
      </c>
      <c r="H30" s="28">
        <f t="shared" si="20"/>
        <v>0</v>
      </c>
      <c r="I30" s="28">
        <f t="shared" si="20"/>
        <v>0</v>
      </c>
      <c r="J30" s="28">
        <f t="shared" si="20"/>
        <v>0</v>
      </c>
      <c r="K30" s="28">
        <f t="shared" si="20"/>
        <v>0</v>
      </c>
      <c r="L30" s="28">
        <f t="shared" si="20"/>
        <v>0</v>
      </c>
      <c r="M30" s="28">
        <f t="shared" si="20"/>
        <v>0</v>
      </c>
      <c r="N30" s="28">
        <f t="shared" si="20"/>
        <v>0</v>
      </c>
      <c r="O30" s="28">
        <f t="shared" si="20"/>
        <v>0</v>
      </c>
      <c r="P30" s="28">
        <f t="shared" si="20"/>
        <v>0</v>
      </c>
      <c r="Q30" s="28">
        <f t="shared" si="20"/>
        <v>0</v>
      </c>
      <c r="R30" s="28">
        <f t="shared" si="20"/>
        <v>0</v>
      </c>
      <c r="S30" s="28">
        <f t="shared" si="20"/>
        <v>0</v>
      </c>
      <c r="T30" s="28">
        <f t="shared" si="20"/>
        <v>0</v>
      </c>
      <c r="U30" s="28">
        <f t="shared" si="20"/>
        <v>0</v>
      </c>
      <c r="V30" s="28">
        <f t="shared" si="20"/>
        <v>0</v>
      </c>
      <c r="W30" s="28">
        <f t="shared" si="20"/>
        <v>0</v>
      </c>
      <c r="X30" s="28">
        <f t="shared" si="20"/>
        <v>0</v>
      </c>
      <c r="Y30" s="28">
        <f t="shared" si="20"/>
        <v>0</v>
      </c>
      <c r="Z30" s="28">
        <f t="shared" si="20"/>
        <v>0</v>
      </c>
      <c r="AA30" s="28">
        <f t="shared" si="20"/>
        <v>0</v>
      </c>
      <c r="AB30" s="28">
        <f t="shared" si="20"/>
        <v>0</v>
      </c>
      <c r="AC30" s="28">
        <f t="shared" si="20"/>
        <v>0</v>
      </c>
      <c r="AD30" s="28">
        <f t="shared" si="20"/>
        <v>0</v>
      </c>
      <c r="AE30" s="28">
        <f t="shared" si="20"/>
        <v>0</v>
      </c>
      <c r="AF30" s="28">
        <f t="shared" si="7"/>
        <v>0</v>
      </c>
      <c r="AG30" s="191"/>
      <c r="AH30" s="189">
        <f t="shared" si="8"/>
        <v>0</v>
      </c>
      <c r="AI30" s="189"/>
      <c r="AJ30" s="190"/>
      <c r="AK30" s="191"/>
      <c r="AL30" s="191"/>
      <c r="AM30" s="191"/>
      <c r="AN30" s="191"/>
      <c r="AO30" s="6"/>
      <c r="AP30" s="6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</row>
    <row r="31" spans="1:94" s="127" customFormat="1" ht="18" customHeight="1">
      <c r="A31" s="19" t="s">
        <v>188</v>
      </c>
      <c r="B31" s="28">
        <f>SUM(C31:F31)</f>
        <v>0</v>
      </c>
      <c r="C31" s="28">
        <f>IF('таблицы в текст'!$G$231&gt;0,C12*0.06,0)</f>
        <v>0</v>
      </c>
      <c r="D31" s="28">
        <f>IF('таблицы в текст'!$G$231&gt;0,D12*0.06,0)</f>
        <v>0</v>
      </c>
      <c r="E31" s="28">
        <f>IF('таблицы в текст'!$G$231&gt;0,E12*0.06,0)</f>
        <v>0</v>
      </c>
      <c r="F31" s="28">
        <f>IF('таблицы в текст'!$G$231&gt;0,F12*0.06,0)</f>
        <v>0</v>
      </c>
      <c r="G31" s="28">
        <f>SUM(H31:K31)</f>
        <v>0</v>
      </c>
      <c r="H31" s="28">
        <f>IF('таблицы в текст'!$G$231&gt;0,H12*0.06,0)</f>
        <v>0</v>
      </c>
      <c r="I31" s="28">
        <f>IF('таблицы в текст'!$G$231&gt;0,I12*0.06,0)</f>
        <v>0</v>
      </c>
      <c r="J31" s="28">
        <f>IF('таблицы в текст'!$G$231&gt;0,J12*0.06,0)</f>
        <v>0</v>
      </c>
      <c r="K31" s="28">
        <f>IF('таблицы в текст'!$G$231&gt;0,K12*0.06,0)</f>
        <v>0</v>
      </c>
      <c r="L31" s="28">
        <f>SUM(M31:P31)</f>
        <v>0</v>
      </c>
      <c r="M31" s="28">
        <f>IF('таблицы в текст'!$G$231&gt;0,M12*0.06,0)</f>
        <v>0</v>
      </c>
      <c r="N31" s="28">
        <f>IF('таблицы в текст'!$G$231&gt;0,N12*0.06,0)</f>
        <v>0</v>
      </c>
      <c r="O31" s="28">
        <f>IF('таблицы в текст'!$G$231&gt;0,O12*0.06,0)</f>
        <v>0</v>
      </c>
      <c r="P31" s="28">
        <f>IF('таблицы в текст'!$G$231&gt;0,P12*0.06,0)</f>
        <v>0</v>
      </c>
      <c r="Q31" s="28">
        <f>SUM(R31:U31)</f>
        <v>0</v>
      </c>
      <c r="R31" s="28">
        <f>IF('таблицы в текст'!$G$231&gt;0,R12*0.06,0)</f>
        <v>0</v>
      </c>
      <c r="S31" s="28">
        <f>IF('таблицы в текст'!$G$231&gt;0,S12*0.06,0)</f>
        <v>0</v>
      </c>
      <c r="T31" s="28">
        <f>IF('таблицы в текст'!$G$231&gt;0,T12*0.06,0)</f>
        <v>0</v>
      </c>
      <c r="U31" s="28">
        <f>IF('таблицы в текст'!$G$231&gt;0,U12*0.06,0)</f>
        <v>0</v>
      </c>
      <c r="V31" s="28">
        <f>SUM(W31:Z31)</f>
        <v>0</v>
      </c>
      <c r="W31" s="28">
        <f>IF('таблицы в текст'!$G$231&gt;0,W12*0.06,0)</f>
        <v>0</v>
      </c>
      <c r="X31" s="28">
        <f>IF('таблицы в текст'!$G$231&gt;0,X12*0.06,0)</f>
        <v>0</v>
      </c>
      <c r="Y31" s="28">
        <f>IF('таблицы в текст'!$G$231&gt;0,Y12*0.06,0)</f>
        <v>0</v>
      </c>
      <c r="Z31" s="28">
        <f>IF('таблицы в текст'!$G$231&gt;0,Z12*0.06,0)</f>
        <v>0</v>
      </c>
      <c r="AA31" s="28">
        <f>SUM(AB31:AE31)</f>
        <v>0</v>
      </c>
      <c r="AB31" s="28">
        <f>IF('таблицы в текст'!$G$231&gt;0,AB12*0.06,0)</f>
        <v>0</v>
      </c>
      <c r="AC31" s="28">
        <f>IF('таблицы в текст'!$G$231&gt;0,AC12*0.06,0)</f>
        <v>0</v>
      </c>
      <c r="AD31" s="28">
        <f>IF('таблицы в текст'!$G$231&gt;0,AD12*0.06,0)</f>
        <v>0</v>
      </c>
      <c r="AE31" s="28">
        <f>IF('таблицы в текст'!$G$231&gt;0,AE12*0.06,0)</f>
        <v>0</v>
      </c>
      <c r="AF31" s="28">
        <f t="shared" si="7"/>
        <v>0</v>
      </c>
      <c r="AG31" s="191"/>
      <c r="AH31" s="189">
        <f t="shared" si="8"/>
        <v>0</v>
      </c>
      <c r="AI31" s="189"/>
      <c r="AJ31" s="190"/>
      <c r="AK31" s="191"/>
      <c r="AL31" s="191"/>
      <c r="AM31" s="191"/>
      <c r="AN31" s="191"/>
      <c r="AO31" s="6"/>
      <c r="AP31" s="6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</row>
    <row r="32" spans="1:94" s="127" customFormat="1" ht="18" customHeight="1">
      <c r="A32" s="19" t="s">
        <v>189</v>
      </c>
      <c r="B32" s="28">
        <f>SUM(C32:F32)</f>
        <v>0</v>
      </c>
      <c r="C32" s="28">
        <f>IF('таблицы в текст'!$G$232&gt;0,(C12-C13-C19-C28)*0.1,0)</f>
        <v>0</v>
      </c>
      <c r="D32" s="28">
        <f>IF('таблицы в текст'!$G$232&gt;0,(D12-D13-D19-D28)*0.1,0)</f>
        <v>0</v>
      </c>
      <c r="E32" s="28">
        <f>IF('таблицы в текст'!$G$232&gt;0,(E12-E13-E19-E28)*0.1,0)</f>
        <v>0</v>
      </c>
      <c r="F32" s="28">
        <f>IF('таблицы в текст'!$G$232&gt;0,(F12-F13-F19-F28)*0.1,0)</f>
        <v>0</v>
      </c>
      <c r="G32" s="28">
        <f>SUM(H32:K32)</f>
        <v>0</v>
      </c>
      <c r="H32" s="28">
        <f>IF('таблицы в текст'!$G$232&gt;0,(H12-H13-H19-H28)*0.1,0)</f>
        <v>0</v>
      </c>
      <c r="I32" s="28">
        <f>IF('таблицы в текст'!$G$232&gt;0,(I12-I13-I19-I28)*0.1,0)</f>
        <v>0</v>
      </c>
      <c r="J32" s="28">
        <f>IF('таблицы в текст'!$G$232&gt;0,(J12-J13-J19-J28)*0.1,0)</f>
        <v>0</v>
      </c>
      <c r="K32" s="28">
        <f>IF('таблицы в текст'!$G$232&gt;0,(K12-K13-K19-K28)*0.1,0)</f>
        <v>0</v>
      </c>
      <c r="L32" s="28">
        <f>SUM(M32:P32)</f>
        <v>0</v>
      </c>
      <c r="M32" s="28">
        <f>IF('таблицы в текст'!$G$232&gt;0,(M12-M13-M19-M28)*0.1,0)</f>
        <v>0</v>
      </c>
      <c r="N32" s="28">
        <f>IF('таблицы в текст'!$G$232&gt;0,(N12-N13-N19-N28)*0.1,0)</f>
        <v>0</v>
      </c>
      <c r="O32" s="28">
        <f>IF('таблицы в текст'!$G$232&gt;0,(O12-O13-O19-O28)*0.1,0)</f>
        <v>0</v>
      </c>
      <c r="P32" s="28">
        <f>IF('таблицы в текст'!$G$232&gt;0,(P12-P13-P19-P28)*0.1,0)</f>
        <v>0</v>
      </c>
      <c r="Q32" s="28">
        <f>SUM(R32:U32)</f>
        <v>0</v>
      </c>
      <c r="R32" s="28">
        <f>IF('таблицы в текст'!$G$232&gt;0,(R12-R13-R19-R28)*0.1,0)</f>
        <v>0</v>
      </c>
      <c r="S32" s="28">
        <f>IF('таблицы в текст'!$G$232&gt;0,(S12-S13-S19-S28)*0.1,0)</f>
        <v>0</v>
      </c>
      <c r="T32" s="28">
        <f>IF('таблицы в текст'!$G$232&gt;0,(T12-T13-T19-T28)*0.1,0)</f>
        <v>0</v>
      </c>
      <c r="U32" s="28">
        <f>IF('таблицы в текст'!$G$232&gt;0,(U12-U13-U19-U28)*0.1,0)</f>
        <v>0</v>
      </c>
      <c r="V32" s="28">
        <f>SUM(W32:Z32)</f>
        <v>0</v>
      </c>
      <c r="W32" s="28">
        <f>IF('таблицы в текст'!$G$232&gt;0,(W12-W13-W19-W28)*0.1,0)</f>
        <v>0</v>
      </c>
      <c r="X32" s="28">
        <f>IF('таблицы в текст'!$G$232&gt;0,(X12-X13-X19-X28)*0.1,0)</f>
        <v>0</v>
      </c>
      <c r="Y32" s="28">
        <f>IF('таблицы в текст'!$G$232&gt;0,(Y12-Y13-Y19-Y28)*0.1,0)</f>
        <v>0</v>
      </c>
      <c r="Z32" s="28">
        <f>IF('таблицы в текст'!$G$232&gt;0,(Z12-Z13-Z19-Z28)*0.1,0)</f>
        <v>0</v>
      </c>
      <c r="AA32" s="28">
        <f>SUM(AB32:AE32)</f>
        <v>0</v>
      </c>
      <c r="AB32" s="28">
        <f>IF('таблицы в текст'!$G$232&gt;0,(AB12-AB13-AB19-AB28)*0.1,0)</f>
        <v>0</v>
      </c>
      <c r="AC32" s="28">
        <f>IF('таблицы в текст'!$G$232&gt;0,(AC12-AC13-AC19-AC28)*0.1,0)</f>
        <v>0</v>
      </c>
      <c r="AD32" s="28">
        <f>IF('таблицы в текст'!$G$232&gt;0,(AD12-AD13-AD19-AD28)*0.1,0)</f>
        <v>0</v>
      </c>
      <c r="AE32" s="28">
        <f>IF('таблицы в текст'!$G$232&gt;0,(AE12-AE13-AE19-AE28)*0.1,0)</f>
        <v>0</v>
      </c>
      <c r="AF32" s="28">
        <f t="shared" si="7"/>
        <v>0</v>
      </c>
      <c r="AG32" s="191"/>
      <c r="AH32" s="189">
        <f t="shared" si="8"/>
        <v>0</v>
      </c>
      <c r="AI32" s="189"/>
      <c r="AJ32" s="190"/>
      <c r="AK32" s="191"/>
      <c r="AL32" s="191"/>
      <c r="AM32" s="191"/>
      <c r="AN32" s="191"/>
      <c r="AO32" s="6"/>
      <c r="AP32" s="6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</row>
    <row r="33" spans="1:94" s="152" customFormat="1" ht="19.5" customHeight="1">
      <c r="A33" s="150" t="s">
        <v>42</v>
      </c>
      <c r="B33" s="151">
        <f>B29-B31</f>
        <v>5205.282123677925</v>
      </c>
      <c r="C33" s="151">
        <f aca="true" t="shared" si="21" ref="C33:AF33">C29-C31</f>
        <v>0</v>
      </c>
      <c r="D33" s="151">
        <f t="shared" si="21"/>
        <v>1870.1733007726402</v>
      </c>
      <c r="E33" s="151">
        <f t="shared" si="21"/>
        <v>1873.8437692204104</v>
      </c>
      <c r="F33" s="151">
        <f t="shared" si="21"/>
        <v>1461.2650536848746</v>
      </c>
      <c r="G33" s="151">
        <f t="shared" si="21"/>
        <v>8904.272399223037</v>
      </c>
      <c r="H33" s="151">
        <f t="shared" si="21"/>
        <v>1605.0824426715055</v>
      </c>
      <c r="I33" s="151">
        <f t="shared" si="21"/>
        <v>2720.6910481026266</v>
      </c>
      <c r="J33" s="151">
        <f t="shared" si="21"/>
        <v>2633.0864748781996</v>
      </c>
      <c r="K33" s="151">
        <f t="shared" si="21"/>
        <v>1945.4124335707047</v>
      </c>
      <c r="L33" s="151">
        <f t="shared" si="21"/>
        <v>9859.347449304301</v>
      </c>
      <c r="M33" s="151">
        <f t="shared" si="21"/>
        <v>1814.7656602387628</v>
      </c>
      <c r="N33" s="151">
        <f t="shared" si="21"/>
        <v>2983.1257959248937</v>
      </c>
      <c r="O33" s="151">
        <f t="shared" si="21"/>
        <v>2887.4137217219027</v>
      </c>
      <c r="P33" s="151">
        <f t="shared" si="21"/>
        <v>2174.0422714187434</v>
      </c>
      <c r="Q33" s="151">
        <f t="shared" si="21"/>
        <v>10864.663284015152</v>
      </c>
      <c r="R33" s="151">
        <f t="shared" si="21"/>
        <v>2035.528186315454</v>
      </c>
      <c r="S33" s="151">
        <f t="shared" si="21"/>
        <v>3259.2959118625945</v>
      </c>
      <c r="T33" s="151">
        <f t="shared" si="21"/>
        <v>3155.090078312174</v>
      </c>
      <c r="U33" s="151">
        <f t="shared" si="21"/>
        <v>2414.749107524927</v>
      </c>
      <c r="V33" s="151">
        <f t="shared" si="21"/>
        <v>11922.936953846229</v>
      </c>
      <c r="W33" s="151">
        <f t="shared" si="21"/>
        <v>2267.973045590896</v>
      </c>
      <c r="X33" s="151">
        <f t="shared" si="21"/>
        <v>3549.938747185376</v>
      </c>
      <c r="Y33" s="151">
        <f t="shared" si="21"/>
        <v>3436.835158828134</v>
      </c>
      <c r="Z33" s="151">
        <f t="shared" si="21"/>
        <v>2668.1900022418213</v>
      </c>
      <c r="AA33" s="151">
        <f t="shared" si="21"/>
        <v>0</v>
      </c>
      <c r="AB33" s="151">
        <f t="shared" si="21"/>
        <v>0</v>
      </c>
      <c r="AC33" s="151">
        <f t="shared" si="21"/>
        <v>0</v>
      </c>
      <c r="AD33" s="151">
        <f t="shared" si="21"/>
        <v>0</v>
      </c>
      <c r="AE33" s="151">
        <f t="shared" si="21"/>
        <v>0</v>
      </c>
      <c r="AF33" s="151">
        <f t="shared" si="21"/>
        <v>46756.50221006665</v>
      </c>
      <c r="AG33" s="192"/>
      <c r="AH33" s="189">
        <f t="shared" si="8"/>
        <v>0</v>
      </c>
      <c r="AI33" s="193"/>
      <c r="AJ33" s="194"/>
      <c r="AK33" s="192"/>
      <c r="AL33" s="192"/>
      <c r="AM33" s="192"/>
      <c r="AN33" s="192"/>
      <c r="AO33" s="184"/>
      <c r="AP33" s="184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</row>
    <row r="34" spans="1:42" s="9" customFormat="1" ht="15.75" customHeight="1" hidden="1" outlineLevel="1">
      <c r="A34" s="147" t="s">
        <v>183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81"/>
      <c r="AH34" s="181"/>
      <c r="AI34" s="181"/>
      <c r="AJ34" s="181"/>
      <c r="AK34" s="181"/>
      <c r="AL34" s="181"/>
      <c r="AM34" s="181"/>
      <c r="AN34" s="181"/>
      <c r="AO34" s="11"/>
      <c r="AP34" s="11"/>
    </row>
    <row r="35" spans="1:42" s="9" customFormat="1" ht="15.75" customHeight="1" hidden="1" outlineLevel="1">
      <c r="A35" s="147" t="s">
        <v>184</v>
      </c>
      <c r="B35" s="148"/>
      <c r="C35" s="148"/>
      <c r="D35" s="148"/>
      <c r="E35" s="148"/>
      <c r="F35" s="148"/>
      <c r="G35" s="149">
        <f>'таблицы в текст'!D28</f>
        <v>1</v>
      </c>
      <c r="H35" s="149">
        <f>G35</f>
        <v>1</v>
      </c>
      <c r="I35" s="149">
        <f>H35</f>
        <v>1</v>
      </c>
      <c r="J35" s="149">
        <f>I35</f>
        <v>1</v>
      </c>
      <c r="K35" s="149">
        <f>J35</f>
        <v>1</v>
      </c>
      <c r="L35" s="149">
        <f aca="true" t="shared" si="22" ref="L35:AE35">K35</f>
        <v>1</v>
      </c>
      <c r="M35" s="149">
        <f t="shared" si="22"/>
        <v>1</v>
      </c>
      <c r="N35" s="149">
        <f t="shared" si="22"/>
        <v>1</v>
      </c>
      <c r="O35" s="149">
        <f t="shared" si="22"/>
        <v>1</v>
      </c>
      <c r="P35" s="149">
        <f t="shared" si="22"/>
        <v>1</v>
      </c>
      <c r="Q35" s="149">
        <f t="shared" si="22"/>
        <v>1</v>
      </c>
      <c r="R35" s="149">
        <f t="shared" si="22"/>
        <v>1</v>
      </c>
      <c r="S35" s="149">
        <f t="shared" si="22"/>
        <v>1</v>
      </c>
      <c r="T35" s="149">
        <f t="shared" si="22"/>
        <v>1</v>
      </c>
      <c r="U35" s="149">
        <f t="shared" si="22"/>
        <v>1</v>
      </c>
      <c r="V35" s="149">
        <f t="shared" si="22"/>
        <v>1</v>
      </c>
      <c r="W35" s="149">
        <f t="shared" si="22"/>
        <v>1</v>
      </c>
      <c r="X35" s="149">
        <f t="shared" si="22"/>
        <v>1</v>
      </c>
      <c r="Y35" s="149">
        <f t="shared" si="22"/>
        <v>1</v>
      </c>
      <c r="Z35" s="149">
        <f t="shared" si="22"/>
        <v>1</v>
      </c>
      <c r="AA35" s="149">
        <f t="shared" si="22"/>
        <v>1</v>
      </c>
      <c r="AB35" s="149">
        <f t="shared" si="22"/>
        <v>1</v>
      </c>
      <c r="AC35" s="149">
        <f t="shared" si="22"/>
        <v>1</v>
      </c>
      <c r="AD35" s="149">
        <f t="shared" si="22"/>
        <v>1</v>
      </c>
      <c r="AE35" s="149">
        <f t="shared" si="22"/>
        <v>1</v>
      </c>
      <c r="AF35" s="148"/>
      <c r="AG35" s="181"/>
      <c r="AH35" s="181"/>
      <c r="AI35" s="181"/>
      <c r="AJ35" s="181"/>
      <c r="AK35" s="181"/>
      <c r="AL35" s="181"/>
      <c r="AM35" s="181"/>
      <c r="AN35" s="181"/>
      <c r="AO35" s="11"/>
      <c r="AP35" s="11"/>
    </row>
    <row r="36" spans="1:42" s="9" customFormat="1" ht="15.75" customHeight="1" hidden="1" outlineLevel="1">
      <c r="A36" s="147" t="s">
        <v>185</v>
      </c>
      <c r="B36" s="148"/>
      <c r="C36" s="148"/>
      <c r="D36" s="148"/>
      <c r="E36" s="148"/>
      <c r="F36" s="148"/>
      <c r="G36" s="149">
        <f>'таблицы в текст'!D28</f>
        <v>1</v>
      </c>
      <c r="H36" s="149">
        <f aca="true" t="shared" si="23" ref="H36:K37">G36</f>
        <v>1</v>
      </c>
      <c r="I36" s="149">
        <f t="shared" si="23"/>
        <v>1</v>
      </c>
      <c r="J36" s="149">
        <f t="shared" si="23"/>
        <v>1</v>
      </c>
      <c r="K36" s="149">
        <f t="shared" si="23"/>
        <v>1</v>
      </c>
      <c r="L36" s="149">
        <f aca="true" t="shared" si="24" ref="L36:AE36">K36</f>
        <v>1</v>
      </c>
      <c r="M36" s="149">
        <f t="shared" si="24"/>
        <v>1</v>
      </c>
      <c r="N36" s="149">
        <f t="shared" si="24"/>
        <v>1</v>
      </c>
      <c r="O36" s="149">
        <f t="shared" si="24"/>
        <v>1</v>
      </c>
      <c r="P36" s="149">
        <f t="shared" si="24"/>
        <v>1</v>
      </c>
      <c r="Q36" s="149">
        <f t="shared" si="24"/>
        <v>1</v>
      </c>
      <c r="R36" s="149">
        <f t="shared" si="24"/>
        <v>1</v>
      </c>
      <c r="S36" s="149">
        <f t="shared" si="24"/>
        <v>1</v>
      </c>
      <c r="T36" s="149">
        <f t="shared" si="24"/>
        <v>1</v>
      </c>
      <c r="U36" s="149">
        <f t="shared" si="24"/>
        <v>1</v>
      </c>
      <c r="V36" s="149">
        <f t="shared" si="24"/>
        <v>1</v>
      </c>
      <c r="W36" s="149">
        <f t="shared" si="24"/>
        <v>1</v>
      </c>
      <c r="X36" s="149">
        <f t="shared" si="24"/>
        <v>1</v>
      </c>
      <c r="Y36" s="149">
        <f t="shared" si="24"/>
        <v>1</v>
      </c>
      <c r="Z36" s="149">
        <f t="shared" si="24"/>
        <v>1</v>
      </c>
      <c r="AA36" s="149">
        <f t="shared" si="24"/>
        <v>1</v>
      </c>
      <c r="AB36" s="149">
        <f t="shared" si="24"/>
        <v>1</v>
      </c>
      <c r="AC36" s="149">
        <f t="shared" si="24"/>
        <v>1</v>
      </c>
      <c r="AD36" s="149">
        <f t="shared" si="24"/>
        <v>1</v>
      </c>
      <c r="AE36" s="149">
        <f t="shared" si="24"/>
        <v>1</v>
      </c>
      <c r="AF36" s="148"/>
      <c r="AG36" s="181"/>
      <c r="AH36" s="181"/>
      <c r="AI36" s="181"/>
      <c r="AJ36" s="181"/>
      <c r="AK36" s="181"/>
      <c r="AL36" s="181"/>
      <c r="AM36" s="181"/>
      <c r="AN36" s="181"/>
      <c r="AO36" s="11"/>
      <c r="AP36" s="11"/>
    </row>
    <row r="37" spans="1:42" s="9" customFormat="1" ht="15.75" customHeight="1" hidden="1" outlineLevel="1">
      <c r="A37" s="147" t="s">
        <v>186</v>
      </c>
      <c r="B37" s="148"/>
      <c r="C37" s="148"/>
      <c r="D37" s="148"/>
      <c r="E37" s="148"/>
      <c r="F37" s="148"/>
      <c r="G37" s="149">
        <f>'таблицы в текст'!D28</f>
        <v>1</v>
      </c>
      <c r="H37" s="149">
        <f t="shared" si="23"/>
        <v>1</v>
      </c>
      <c r="I37" s="149">
        <f t="shared" si="23"/>
        <v>1</v>
      </c>
      <c r="J37" s="149">
        <f t="shared" si="23"/>
        <v>1</v>
      </c>
      <c r="K37" s="149">
        <f t="shared" si="23"/>
        <v>1</v>
      </c>
      <c r="L37" s="149">
        <f aca="true" t="shared" si="25" ref="L37:AE37">K37</f>
        <v>1</v>
      </c>
      <c r="M37" s="149">
        <f t="shared" si="25"/>
        <v>1</v>
      </c>
      <c r="N37" s="149">
        <f t="shared" si="25"/>
        <v>1</v>
      </c>
      <c r="O37" s="149">
        <f t="shared" si="25"/>
        <v>1</v>
      </c>
      <c r="P37" s="149">
        <f t="shared" si="25"/>
        <v>1</v>
      </c>
      <c r="Q37" s="149">
        <f t="shared" si="25"/>
        <v>1</v>
      </c>
      <c r="R37" s="149">
        <f t="shared" si="25"/>
        <v>1</v>
      </c>
      <c r="S37" s="149">
        <f t="shared" si="25"/>
        <v>1</v>
      </c>
      <c r="T37" s="149">
        <f t="shared" si="25"/>
        <v>1</v>
      </c>
      <c r="U37" s="149">
        <f t="shared" si="25"/>
        <v>1</v>
      </c>
      <c r="V37" s="149">
        <f t="shared" si="25"/>
        <v>1</v>
      </c>
      <c r="W37" s="149">
        <f t="shared" si="25"/>
        <v>1</v>
      </c>
      <c r="X37" s="149">
        <f t="shared" si="25"/>
        <v>1</v>
      </c>
      <c r="Y37" s="149">
        <f t="shared" si="25"/>
        <v>1</v>
      </c>
      <c r="Z37" s="149">
        <f t="shared" si="25"/>
        <v>1</v>
      </c>
      <c r="AA37" s="149">
        <f t="shared" si="25"/>
        <v>1</v>
      </c>
      <c r="AB37" s="149">
        <f t="shared" si="25"/>
        <v>1</v>
      </c>
      <c r="AC37" s="149">
        <f t="shared" si="25"/>
        <v>1</v>
      </c>
      <c r="AD37" s="149">
        <f t="shared" si="25"/>
        <v>1</v>
      </c>
      <c r="AE37" s="149">
        <f t="shared" si="25"/>
        <v>1</v>
      </c>
      <c r="AF37" s="148"/>
      <c r="AG37" s="181"/>
      <c r="AH37" s="181"/>
      <c r="AI37" s="181"/>
      <c r="AJ37" s="181"/>
      <c r="AK37" s="181"/>
      <c r="AL37" s="181"/>
      <c r="AM37" s="181"/>
      <c r="AN37" s="181"/>
      <c r="AO37" s="11"/>
      <c r="AP37" s="11"/>
    </row>
    <row r="38" spans="13:16" ht="12.75" collapsed="1">
      <c r="M38" s="25"/>
      <c r="N38" s="25"/>
      <c r="O38" s="25"/>
      <c r="P38" s="25"/>
    </row>
    <row r="40" spans="2:7" ht="12.75">
      <c r="B40" s="1">
        <f>B33/B12*100</f>
        <v>39.23602607918325</v>
      </c>
      <c r="G40" s="1">
        <f>G33/G12*100</f>
        <v>49.998341366565946</v>
      </c>
    </row>
    <row r="45" ht="12.75">
      <c r="C45" s="18"/>
    </row>
  </sheetData>
  <sheetProtection/>
  <mergeCells count="19">
    <mergeCell ref="AF7:AF9"/>
    <mergeCell ref="L8:L9"/>
    <mergeCell ref="G7:K7"/>
    <mergeCell ref="L7:P7"/>
    <mergeCell ref="R8:U8"/>
    <mergeCell ref="V7:Z7"/>
    <mergeCell ref="AB7:AE7"/>
    <mergeCell ref="AA8:AA9"/>
    <mergeCell ref="Q7:U7"/>
    <mergeCell ref="A7:A9"/>
    <mergeCell ref="B7:F7"/>
    <mergeCell ref="B8:B9"/>
    <mergeCell ref="W8:X8"/>
    <mergeCell ref="H8:K8"/>
    <mergeCell ref="C8:F8"/>
    <mergeCell ref="Q8:Q9"/>
    <mergeCell ref="M8:P8"/>
    <mergeCell ref="G8:G9"/>
    <mergeCell ref="V8:V9"/>
  </mergeCells>
  <printOptions horizontalCentered="1"/>
  <pageMargins left="0.15748031496062992" right="0.15748031496062992" top="0.5905511811023623" bottom="0.3937007874015748" header="0.7086614173228347" footer="0.6299212598425197"/>
  <pageSetup fitToWidth="2" fitToHeight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9"/>
  <sheetViews>
    <sheetView showZeros="0" zoomScale="90" zoomScaleNormal="90" zoomScalePageLayoutView="0" workbookViewId="0" topLeftCell="A1">
      <pane xSplit="1" ySplit="10" topLeftCell="V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1" sqref="AH1:AI16384"/>
    </sheetView>
  </sheetViews>
  <sheetFormatPr defaultColWidth="9.140625" defaultRowHeight="13.5" customHeight="1"/>
  <cols>
    <col min="1" max="1" width="41.140625" style="41" customWidth="1"/>
    <col min="2" max="2" width="9.00390625" style="23" customWidth="1"/>
    <col min="3" max="3" width="8.7109375" style="23" customWidth="1"/>
    <col min="4" max="4" width="8.28125" style="23" customWidth="1"/>
    <col min="5" max="5" width="8.140625" style="23" customWidth="1"/>
    <col min="6" max="6" width="8.57421875" style="23" customWidth="1"/>
    <col min="7" max="7" width="8.7109375" style="23" customWidth="1"/>
    <col min="8" max="21" width="7.28125" style="23" customWidth="1"/>
    <col min="22" max="22" width="9.00390625" style="23" customWidth="1"/>
    <col min="23" max="23" width="6.00390625" style="23" customWidth="1"/>
    <col min="24" max="24" width="8.00390625" style="23" customWidth="1"/>
    <col min="25" max="25" width="7.421875" style="23" customWidth="1"/>
    <col min="26" max="26" width="7.28125" style="23" customWidth="1"/>
    <col min="27" max="27" width="0" style="44" hidden="1" customWidth="1"/>
    <col min="28" max="31" width="0" style="35" hidden="1" customWidth="1"/>
    <col min="32" max="16384" width="9.140625" style="35" customWidth="1"/>
  </cols>
  <sheetData>
    <row r="1" spans="1:5" s="102" customFormat="1" ht="18">
      <c r="A1" s="117"/>
      <c r="B1" s="118" t="str">
        <f>'таблицы в текст'!B1</f>
        <v>НАЗВАНИЕ ПРОЕКТА:</v>
      </c>
      <c r="C1" s="119"/>
      <c r="D1" s="119"/>
      <c r="E1" s="45" t="str">
        <f>'таблицы в текст'!C1</f>
        <v>Бизнес-план Создание автомастерской в п. ХХХ ХХХ района Республики Саха (Якутия)</v>
      </c>
    </row>
    <row r="2" spans="1:40" s="1" customFormat="1" ht="12.75">
      <c r="A2" s="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s="3" customFormat="1" ht="20.25">
      <c r="A3" s="120" t="s">
        <v>190</v>
      </c>
      <c r="B3" s="121"/>
      <c r="C3" s="121"/>
      <c r="D3" s="122"/>
      <c r="E3" s="122"/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0"/>
      <c r="AH3" s="10"/>
      <c r="AI3" s="10"/>
      <c r="AJ3" s="10"/>
      <c r="AK3" s="10"/>
      <c r="AL3" s="10"/>
      <c r="AM3" s="10"/>
      <c r="AN3" s="10"/>
    </row>
    <row r="4" spans="1:40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s="3" customFormat="1" ht="18.75">
      <c r="A5" s="104" t="s">
        <v>191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27" s="30" customFormat="1" ht="18.75" customHeight="1">
      <c r="A6" s="31"/>
      <c r="AA6" s="43"/>
    </row>
    <row r="7" spans="1:32" s="101" customFormat="1" ht="13.5" customHeight="1">
      <c r="A7" s="283" t="s">
        <v>5</v>
      </c>
      <c r="B7" s="284">
        <f>'таблицы в текст'!D33</f>
        <v>2019</v>
      </c>
      <c r="C7" s="284"/>
      <c r="D7" s="284"/>
      <c r="E7" s="284"/>
      <c r="F7" s="284"/>
      <c r="G7" s="284">
        <f>B7+1</f>
        <v>2020</v>
      </c>
      <c r="H7" s="284"/>
      <c r="I7" s="284"/>
      <c r="J7" s="284"/>
      <c r="K7" s="284"/>
      <c r="L7" s="287">
        <f>G7+1</f>
        <v>2021</v>
      </c>
      <c r="M7" s="287"/>
      <c r="N7" s="287"/>
      <c r="O7" s="287"/>
      <c r="P7" s="287"/>
      <c r="Q7" s="276">
        <f>L7+1</f>
        <v>2022</v>
      </c>
      <c r="R7" s="277"/>
      <c r="S7" s="277"/>
      <c r="T7" s="277"/>
      <c r="U7" s="278"/>
      <c r="V7" s="276">
        <f>Q7+1</f>
        <v>2023</v>
      </c>
      <c r="W7" s="277"/>
      <c r="X7" s="277"/>
      <c r="Y7" s="277"/>
      <c r="Z7" s="278"/>
      <c r="AA7" s="276">
        <f>V7+1</f>
        <v>2024</v>
      </c>
      <c r="AB7" s="277"/>
      <c r="AC7" s="277"/>
      <c r="AD7" s="277"/>
      <c r="AE7" s="278"/>
      <c r="AF7" s="279" t="s">
        <v>10</v>
      </c>
    </row>
    <row r="8" spans="1:32" s="34" customFormat="1" ht="13.5" customHeight="1">
      <c r="A8" s="283"/>
      <c r="B8" s="285" t="s">
        <v>6</v>
      </c>
      <c r="C8" s="286" t="s">
        <v>7</v>
      </c>
      <c r="D8" s="286"/>
      <c r="E8" s="286"/>
      <c r="F8" s="286"/>
      <c r="G8" s="285" t="s">
        <v>6</v>
      </c>
      <c r="H8" s="286" t="s">
        <v>7</v>
      </c>
      <c r="I8" s="286"/>
      <c r="J8" s="286"/>
      <c r="K8" s="286"/>
      <c r="L8" s="279" t="s">
        <v>6</v>
      </c>
      <c r="M8" s="286" t="s">
        <v>7</v>
      </c>
      <c r="N8" s="286"/>
      <c r="O8" s="286"/>
      <c r="P8" s="286"/>
      <c r="Q8" s="279" t="s">
        <v>6</v>
      </c>
      <c r="R8" s="280" t="s">
        <v>7</v>
      </c>
      <c r="S8" s="281"/>
      <c r="T8" s="281"/>
      <c r="U8" s="282"/>
      <c r="V8" s="279" t="s">
        <v>6</v>
      </c>
      <c r="W8" s="280" t="s">
        <v>7</v>
      </c>
      <c r="X8" s="281"/>
      <c r="Y8" s="281"/>
      <c r="Z8" s="282"/>
      <c r="AA8" s="279" t="s">
        <v>6</v>
      </c>
      <c r="AB8" s="280" t="s">
        <v>7</v>
      </c>
      <c r="AC8" s="281"/>
      <c r="AD8" s="281"/>
      <c r="AE8" s="282"/>
      <c r="AF8" s="279"/>
    </row>
    <row r="9" spans="1:32" s="34" customFormat="1" ht="13.5" customHeight="1">
      <c r="A9" s="283"/>
      <c r="B9" s="285"/>
      <c r="C9" s="32">
        <v>1</v>
      </c>
      <c r="D9" s="32">
        <v>2</v>
      </c>
      <c r="E9" s="32">
        <v>3</v>
      </c>
      <c r="F9" s="32">
        <v>4</v>
      </c>
      <c r="G9" s="285"/>
      <c r="H9" s="32">
        <v>1</v>
      </c>
      <c r="I9" s="32">
        <v>2</v>
      </c>
      <c r="J9" s="32">
        <v>3</v>
      </c>
      <c r="K9" s="32">
        <v>4</v>
      </c>
      <c r="L9" s="279"/>
      <c r="M9" s="32">
        <v>1</v>
      </c>
      <c r="N9" s="32">
        <v>2</v>
      </c>
      <c r="O9" s="32">
        <v>3</v>
      </c>
      <c r="P9" s="32">
        <v>4</v>
      </c>
      <c r="Q9" s="279"/>
      <c r="R9" s="33">
        <f>M9</f>
        <v>1</v>
      </c>
      <c r="S9" s="33">
        <v>2</v>
      </c>
      <c r="T9" s="33">
        <f>O9</f>
        <v>3</v>
      </c>
      <c r="U9" s="33">
        <f>P9</f>
        <v>4</v>
      </c>
      <c r="V9" s="279"/>
      <c r="W9" s="33">
        <f>R9</f>
        <v>1</v>
      </c>
      <c r="X9" s="33">
        <v>2</v>
      </c>
      <c r="Y9" s="33">
        <f>T9</f>
        <v>3</v>
      </c>
      <c r="Z9" s="33">
        <f>U9</f>
        <v>4</v>
      </c>
      <c r="AA9" s="279"/>
      <c r="AB9" s="33">
        <f>W9</f>
        <v>1</v>
      </c>
      <c r="AC9" s="33">
        <v>3</v>
      </c>
      <c r="AD9" s="33">
        <f>Y9</f>
        <v>3</v>
      </c>
      <c r="AE9" s="33">
        <f>Z9</f>
        <v>4</v>
      </c>
      <c r="AF9" s="279"/>
    </row>
    <row r="10" spans="1:32" ht="13.5" customHeight="1">
      <c r="A10" s="153" t="s">
        <v>192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</row>
    <row r="11" spans="1:32" s="15" customFormat="1" ht="17.25" customHeight="1">
      <c r="A11" s="13" t="str">
        <f>'приложение 1'!A12</f>
        <v>Выручка </v>
      </c>
      <c r="B11" s="17">
        <f aca="true" t="shared" si="0" ref="B11:B16">SUM(C11:F11)</f>
        <v>13266.588499999998</v>
      </c>
      <c r="C11" s="13">
        <f>'приложение 1'!C12</f>
        <v>0</v>
      </c>
      <c r="D11" s="13">
        <f>'приложение 1'!D12</f>
        <v>4702.081999999999</v>
      </c>
      <c r="E11" s="13">
        <f>'приложение 1'!E12</f>
        <v>4534.1505</v>
      </c>
      <c r="F11" s="13">
        <f>'приложение 1'!F12</f>
        <v>4030.3559999999993</v>
      </c>
      <c r="G11" s="17">
        <f aca="true" t="shared" si="1" ref="G11:G16">SUM(H11:K11)</f>
        <v>17809.135575</v>
      </c>
      <c r="H11" s="13">
        <f>'приложение 1'!H12</f>
        <v>3879.2176499999996</v>
      </c>
      <c r="I11" s="13">
        <f>'приложение 1'!I12</f>
        <v>4937.1861</v>
      </c>
      <c r="J11" s="13">
        <f>'приложение 1'!J12</f>
        <v>4760.8580249999995</v>
      </c>
      <c r="K11" s="13">
        <f>'приложение 1'!K12</f>
        <v>4231.873799999999</v>
      </c>
      <c r="L11" s="17">
        <f aca="true" t="shared" si="2" ref="L11:L16">SUM(M11:P11)</f>
        <v>18699.59235375</v>
      </c>
      <c r="M11" s="13">
        <f>'приложение 1'!M12</f>
        <v>4073.1785324999996</v>
      </c>
      <c r="N11" s="13">
        <f>'приложение 1'!N12</f>
        <v>5184.045405</v>
      </c>
      <c r="O11" s="13">
        <f>'приложение 1'!O12</f>
        <v>4998.900926249999</v>
      </c>
      <c r="P11" s="13">
        <f>'приложение 1'!P12</f>
        <v>4443.46749</v>
      </c>
      <c r="Q11" s="17">
        <f aca="true" t="shared" si="3" ref="Q11:Q16">SUM(R11:U11)</f>
        <v>19634.5719714375</v>
      </c>
      <c r="R11" s="13">
        <f>'приложение 1'!R12</f>
        <v>4276.837459124999</v>
      </c>
      <c r="S11" s="13">
        <f>'приложение 1'!S12</f>
        <v>5443.24767525</v>
      </c>
      <c r="T11" s="13">
        <f>'приложение 1'!T12</f>
        <v>5248.8459725625</v>
      </c>
      <c r="U11" s="13">
        <f>'приложение 1'!U12</f>
        <v>4665.6408645</v>
      </c>
      <c r="V11" s="17">
        <f aca="true" t="shared" si="4" ref="V11:V16">SUM(W11:Z11)</f>
        <v>20616.30057000937</v>
      </c>
      <c r="W11" s="13">
        <f>'приложение 1'!W12</f>
        <v>4490.679332081249</v>
      </c>
      <c r="X11" s="13">
        <f>'приложение 1'!X12</f>
        <v>5715.4100590125</v>
      </c>
      <c r="Y11" s="13">
        <f>'приложение 1'!Y12</f>
        <v>5511.288271190625</v>
      </c>
      <c r="Z11" s="13">
        <f>'приложение 1'!Z12</f>
        <v>4898.922907725</v>
      </c>
      <c r="AA11" s="17">
        <f aca="true" t="shared" si="5" ref="AA11:AA16">SUM(AB11:AE11)</f>
        <v>0</v>
      </c>
      <c r="AB11" s="13">
        <f>'приложение 1'!AB12</f>
        <v>0</v>
      </c>
      <c r="AC11" s="13">
        <f>'приложение 1'!AC12</f>
        <v>0</v>
      </c>
      <c r="AD11" s="13">
        <f>'приложение 1'!AD12</f>
        <v>0</v>
      </c>
      <c r="AE11" s="13">
        <f>'приложение 1'!AE12</f>
        <v>0</v>
      </c>
      <c r="AF11" s="13">
        <f>AA11+V11+Q11+L11+G11+B11</f>
        <v>90026.18897019686</v>
      </c>
    </row>
    <row r="12" spans="1:32" s="15" customFormat="1" ht="17.25" customHeight="1" hidden="1">
      <c r="A12" s="13"/>
      <c r="B12" s="17">
        <f t="shared" si="0"/>
        <v>0</v>
      </c>
      <c r="C12" s="13"/>
      <c r="D12" s="13"/>
      <c r="E12" s="13"/>
      <c r="F12" s="13"/>
      <c r="G12" s="17">
        <f t="shared" si="1"/>
        <v>0</v>
      </c>
      <c r="H12" s="13"/>
      <c r="I12" s="13"/>
      <c r="J12" s="13"/>
      <c r="K12" s="13"/>
      <c r="L12" s="17">
        <f t="shared" si="2"/>
        <v>0</v>
      </c>
      <c r="M12" s="13"/>
      <c r="N12" s="13"/>
      <c r="O12" s="13"/>
      <c r="P12" s="13"/>
      <c r="Q12" s="17">
        <f t="shared" si="3"/>
        <v>0</v>
      </c>
      <c r="R12" s="13"/>
      <c r="S12" s="13"/>
      <c r="T12" s="13"/>
      <c r="U12" s="13"/>
      <c r="V12" s="17">
        <f t="shared" si="4"/>
        <v>0</v>
      </c>
      <c r="W12" s="13"/>
      <c r="X12" s="13"/>
      <c r="Y12" s="13"/>
      <c r="Z12" s="13"/>
      <c r="AA12" s="17">
        <f t="shared" si="5"/>
        <v>0</v>
      </c>
      <c r="AB12" s="13"/>
      <c r="AC12" s="13"/>
      <c r="AD12" s="13"/>
      <c r="AE12" s="13"/>
      <c r="AF12" s="13">
        <f aca="true" t="shared" si="6" ref="AF12:AF19">AA12+V12+Q12+L12+G12+B12</f>
        <v>0</v>
      </c>
    </row>
    <row r="13" spans="1:32" s="24" customFormat="1" ht="16.5" customHeight="1">
      <c r="A13" s="36" t="s">
        <v>193</v>
      </c>
      <c r="B13" s="17">
        <f t="shared" si="0"/>
        <v>7675.159330877779</v>
      </c>
      <c r="C13" s="17">
        <f>'приложение 1'!C13+'приложение 1'!C19-'приложение 1'!C26</f>
        <v>0</v>
      </c>
      <c r="D13" s="17">
        <f>'приложение 1'!D13+'приложение 1'!D19-'приложение 1'!D26</f>
        <v>2699.608521830099</v>
      </c>
      <c r="E13" s="17">
        <f>'приложение 1'!E13+'приложение 1'!E19-'приложение 1'!E26</f>
        <v>2531.204258907595</v>
      </c>
      <c r="F13" s="17">
        <f>'приложение 1'!F13+'приложение 1'!F19-'приложение 1'!F26</f>
        <v>2444.3465501400847</v>
      </c>
      <c r="G13" s="17">
        <f t="shared" si="1"/>
        <v>8454.216080377779</v>
      </c>
      <c r="H13" s="17">
        <f>'приложение 1'!H13+'приложение 1'!H19-'приложение 1'!H26</f>
        <v>2155.74381459879</v>
      </c>
      <c r="I13" s="17">
        <f>'приложение 1'!I13+'приложение 1'!I19-'приложение 1'!I26</f>
        <v>2101.6744742317937</v>
      </c>
      <c r="J13" s="17">
        <f>'приложение 1'!J13+'приложение 1'!J19-'приложение 1'!J26</f>
        <v>2016.6932268485148</v>
      </c>
      <c r="K13" s="17">
        <f>'приложение 1'!K13+'приложение 1'!K19-'приложение 1'!K26</f>
        <v>2180.10456469868</v>
      </c>
      <c r="L13" s="17">
        <f t="shared" si="2"/>
        <v>8466.28210623</v>
      </c>
      <c r="M13" s="17">
        <f>'приложение 1'!M13+'приложение 1'!M19-'приложение 1'!M26</f>
        <v>2158.372057853729</v>
      </c>
      <c r="N13" s="17">
        <f>'приложение 1'!N13+'приложение 1'!N19-'приложение 1'!N26</f>
        <v>2105.0195111017165</v>
      </c>
      <c r="O13" s="17">
        <f>'приложение 1'!O13+'приложение 1'!O19-'приложение 1'!O26</f>
        <v>2019.9187981159407</v>
      </c>
      <c r="P13" s="17">
        <f>'приложение 1'!P13+'приложение 1'!P19-'приложение 1'!P26</f>
        <v>2182.971739158614</v>
      </c>
      <c r="Q13" s="17">
        <f t="shared" si="3"/>
        <v>8478.951433374834</v>
      </c>
      <c r="R13" s="17">
        <f>'приложение 1'!R13+'приложение 1'!R19-'приложение 1'!R26</f>
        <v>2161.1317132714157</v>
      </c>
      <c r="S13" s="17">
        <f>'приложение 1'!S13+'приложение 1'!S19-'приложение 1'!S26</f>
        <v>2108.531799815136</v>
      </c>
      <c r="T13" s="17">
        <f>'приложение 1'!T13+'приложение 1'!T19-'приложение 1'!T26</f>
        <v>2023.3056479467377</v>
      </c>
      <c r="U13" s="17">
        <f>'приложение 1'!U13+'приложение 1'!U19-'приложение 1'!U26</f>
        <v>2185.9822723415446</v>
      </c>
      <c r="V13" s="17">
        <f t="shared" si="4"/>
        <v>8492.254226876908</v>
      </c>
      <c r="W13" s="17">
        <f>'приложение 1'!W13+'приложение 1'!W19-'приложение 1'!W26</f>
        <v>2164.0293514599866</v>
      </c>
      <c r="X13" s="17">
        <f>'приложение 1'!X13+'приложение 1'!X19-'приложение 1'!X26</f>
        <v>2112.2197029642257</v>
      </c>
      <c r="Y13" s="17">
        <f>'приложение 1'!Y13+'приложение 1'!Y19-'приложение 1'!Y26</f>
        <v>2026.8618402690745</v>
      </c>
      <c r="Z13" s="17">
        <f>'приложение 1'!Z13+'приложение 1'!Z19-'приложение 1'!Z26</f>
        <v>2189.1433321836216</v>
      </c>
      <c r="AA13" s="17">
        <f t="shared" si="5"/>
        <v>0</v>
      </c>
      <c r="AB13" s="17">
        <f>'приложение 1'!AB13+'приложение 1'!AB19-'приложение 1'!AB26</f>
        <v>0</v>
      </c>
      <c r="AC13" s="17">
        <f>'приложение 1'!AC13+'приложение 1'!AC19-'приложение 1'!AC26</f>
        <v>0</v>
      </c>
      <c r="AD13" s="17">
        <f>'приложение 1'!AD13+'приложение 1'!AD19-'приложение 1'!AD26</f>
        <v>0</v>
      </c>
      <c r="AE13" s="17">
        <f>'приложение 1'!AE13+'приложение 1'!AE19-'приложение 1'!AE26</f>
        <v>0</v>
      </c>
      <c r="AF13" s="13">
        <f t="shared" si="6"/>
        <v>41566.8631777373</v>
      </c>
    </row>
    <row r="14" spans="1:32" s="24" customFormat="1" ht="16.5" customHeight="1">
      <c r="A14" s="36" t="s">
        <v>195</v>
      </c>
      <c r="B14" s="17">
        <f t="shared" si="0"/>
        <v>515.6626513333334</v>
      </c>
      <c r="C14" s="17">
        <f>'приложение 1'!C24</f>
        <v>0</v>
      </c>
      <c r="D14" s="17">
        <f>'приложение 1'!D24</f>
        <v>182.76650933333337</v>
      </c>
      <c r="E14" s="17">
        <f>'приложение 1'!E24</f>
        <v>176.23913400000004</v>
      </c>
      <c r="F14" s="17">
        <f>'приложение 1'!F24</f>
        <v>156.65700800000002</v>
      </c>
      <c r="G14" s="17">
        <f t="shared" si="1"/>
        <v>652.7375333333334</v>
      </c>
      <c r="H14" s="17">
        <f>'приложение 1'!H24</f>
        <v>137.074882</v>
      </c>
      <c r="I14" s="17">
        <f>'приложение 1'!I24</f>
        <v>182.76650933333337</v>
      </c>
      <c r="J14" s="17">
        <f>'приложение 1'!J24</f>
        <v>176.23913400000004</v>
      </c>
      <c r="K14" s="17">
        <f>'приложение 1'!K24</f>
        <v>156.65700800000002</v>
      </c>
      <c r="L14" s="17">
        <f t="shared" si="2"/>
        <v>652.7375333333334</v>
      </c>
      <c r="M14" s="17">
        <f>'приложение 1'!M24</f>
        <v>137.074882</v>
      </c>
      <c r="N14" s="17">
        <f>'приложение 1'!N24</f>
        <v>182.76650933333337</v>
      </c>
      <c r="O14" s="17">
        <f>'приложение 1'!O24</f>
        <v>176.23913400000004</v>
      </c>
      <c r="P14" s="17">
        <f>'приложение 1'!P24</f>
        <v>156.65700800000002</v>
      </c>
      <c r="Q14" s="17">
        <f t="shared" si="3"/>
        <v>652.7375333333334</v>
      </c>
      <c r="R14" s="17">
        <f>'приложение 1'!R24</f>
        <v>137.074882</v>
      </c>
      <c r="S14" s="17">
        <f>'приложение 1'!S24</f>
        <v>182.76650933333337</v>
      </c>
      <c r="T14" s="17">
        <f>'приложение 1'!T24</f>
        <v>176.23913400000004</v>
      </c>
      <c r="U14" s="17">
        <f>'приложение 1'!U24</f>
        <v>156.65700800000002</v>
      </c>
      <c r="V14" s="17">
        <f t="shared" si="4"/>
        <v>652.7375333333334</v>
      </c>
      <c r="W14" s="17">
        <f>'приложение 1'!W24</f>
        <v>137.074882</v>
      </c>
      <c r="X14" s="17">
        <f>'приложение 1'!X24</f>
        <v>182.76650933333337</v>
      </c>
      <c r="Y14" s="17">
        <f>'приложение 1'!Y24</f>
        <v>176.23913400000004</v>
      </c>
      <c r="Z14" s="17">
        <f>'приложение 1'!Z24</f>
        <v>156.65700800000002</v>
      </c>
      <c r="AA14" s="17">
        <f t="shared" si="5"/>
        <v>0</v>
      </c>
      <c r="AB14" s="17">
        <f>'приложение 1'!AB24</f>
        <v>0</v>
      </c>
      <c r="AC14" s="17">
        <f>'приложение 1'!AC24</f>
        <v>0</v>
      </c>
      <c r="AD14" s="17">
        <f>'приложение 1'!AD24</f>
        <v>0</v>
      </c>
      <c r="AE14" s="17">
        <f>'приложение 1'!AE24</f>
        <v>0</v>
      </c>
      <c r="AF14" s="13">
        <f t="shared" si="6"/>
        <v>3126.6127846666673</v>
      </c>
    </row>
    <row r="15" spans="1:32" s="15" customFormat="1" ht="14.25" customHeight="1">
      <c r="A15" s="37" t="s">
        <v>194</v>
      </c>
      <c r="B15" s="17">
        <f t="shared" si="0"/>
        <v>97.72245000000001</v>
      </c>
      <c r="C15" s="13">
        <f>'приложение 1'!C26+'приложение 1'!C30</f>
        <v>0</v>
      </c>
      <c r="D15" s="13">
        <f>'приложение 1'!D26+'приложение 1'!D30</f>
        <v>32.57415</v>
      </c>
      <c r="E15" s="13">
        <f>'приложение 1'!E26+'приложение 1'!E30</f>
        <v>32.57415</v>
      </c>
      <c r="F15" s="13">
        <f>'приложение 1'!F26+'приложение 1'!F30</f>
        <v>32.57415</v>
      </c>
      <c r="G15" s="17">
        <f t="shared" si="1"/>
        <v>130.2966</v>
      </c>
      <c r="H15" s="13">
        <f>'приложение 1'!H26+'приложение 1'!H30</f>
        <v>32.57415</v>
      </c>
      <c r="I15" s="13">
        <f>'приложение 1'!I26+'приложение 1'!I30</f>
        <v>32.57415</v>
      </c>
      <c r="J15" s="13">
        <f>'приложение 1'!J26+'приложение 1'!J30</f>
        <v>32.57415</v>
      </c>
      <c r="K15" s="13">
        <f>'приложение 1'!K26+'приложение 1'!K30</f>
        <v>32.57415</v>
      </c>
      <c r="L15" s="17">
        <f t="shared" si="2"/>
        <v>130.2966</v>
      </c>
      <c r="M15" s="13">
        <f>'приложение 1'!M26+'приложение 1'!M30</f>
        <v>32.57415</v>
      </c>
      <c r="N15" s="13">
        <f>'приложение 1'!N26+'приложение 1'!N30</f>
        <v>32.57415</v>
      </c>
      <c r="O15" s="13">
        <f>'приложение 1'!O26+'приложение 1'!O30</f>
        <v>32.57415</v>
      </c>
      <c r="P15" s="13">
        <f>'приложение 1'!P26+'приложение 1'!P30</f>
        <v>32.57415</v>
      </c>
      <c r="Q15" s="17">
        <f t="shared" si="3"/>
        <v>130.2966</v>
      </c>
      <c r="R15" s="13">
        <f>'приложение 1'!R26+'приложение 1'!R30</f>
        <v>32.57415</v>
      </c>
      <c r="S15" s="13">
        <f>'приложение 1'!S26+'приложение 1'!S30</f>
        <v>32.57415</v>
      </c>
      <c r="T15" s="13">
        <f>'приложение 1'!T26+'приложение 1'!T30</f>
        <v>32.57415</v>
      </c>
      <c r="U15" s="13">
        <f>'приложение 1'!U26+'приложение 1'!U30</f>
        <v>32.57415</v>
      </c>
      <c r="V15" s="17">
        <f t="shared" si="4"/>
        <v>130.2966</v>
      </c>
      <c r="W15" s="13">
        <f>'приложение 1'!W26+'приложение 1'!W30</f>
        <v>32.57415</v>
      </c>
      <c r="X15" s="13">
        <f>'приложение 1'!X26+'приложение 1'!X30</f>
        <v>32.57415</v>
      </c>
      <c r="Y15" s="13">
        <f>'приложение 1'!Y26+'приложение 1'!Y30</f>
        <v>32.57415</v>
      </c>
      <c r="Z15" s="13">
        <f>'приложение 1'!Z26+'приложение 1'!Z30</f>
        <v>32.57415</v>
      </c>
      <c r="AA15" s="17">
        <f t="shared" si="5"/>
        <v>0</v>
      </c>
      <c r="AB15" s="13">
        <f>'приложение 1'!AB26+'приложение 1'!AB30</f>
        <v>0</v>
      </c>
      <c r="AC15" s="13">
        <f>'приложение 1'!AC26+'приложение 1'!AC30</f>
        <v>0</v>
      </c>
      <c r="AD15" s="13">
        <f>'приложение 1'!AD26+'приложение 1'!AD30</f>
        <v>0</v>
      </c>
      <c r="AE15" s="13">
        <f>'приложение 1'!AE26+'приложение 1'!AE30</f>
        <v>0</v>
      </c>
      <c r="AF15" s="13">
        <f t="shared" si="6"/>
        <v>618.90885</v>
      </c>
    </row>
    <row r="16" spans="1:32" s="16" customFormat="1" ht="15" customHeight="1">
      <c r="A16" s="13" t="s">
        <v>43</v>
      </c>
      <c r="B16" s="17">
        <f t="shared" si="0"/>
        <v>6009.3693704555535</v>
      </c>
      <c r="C16" s="17">
        <f>C11-C13+C14-C15</f>
        <v>0</v>
      </c>
      <c r="D16" s="17">
        <f>D11-D13+D14-D15</f>
        <v>2152.665837503234</v>
      </c>
      <c r="E16" s="17">
        <f>E11-E13+E14-E15</f>
        <v>2146.6112250924048</v>
      </c>
      <c r="F16" s="17">
        <f>F11-F13+F14-F15</f>
        <v>1710.0923078599149</v>
      </c>
      <c r="G16" s="17">
        <f t="shared" si="1"/>
        <v>9877.360427955555</v>
      </c>
      <c r="H16" s="17">
        <f>H11-H13+H14-H15</f>
        <v>1827.9745674012097</v>
      </c>
      <c r="I16" s="17">
        <f>I11-I13+I14-I15</f>
        <v>2985.7039851015397</v>
      </c>
      <c r="J16" s="17">
        <f>J11-J13+J14-J15</f>
        <v>2887.829782151485</v>
      </c>
      <c r="K16" s="17">
        <f>K11-K13+K14-K15</f>
        <v>2175.8520933013197</v>
      </c>
      <c r="L16" s="17">
        <f t="shared" si="2"/>
        <v>10755.751180853333</v>
      </c>
      <c r="M16" s="17">
        <f>M11-M13+M14-M15</f>
        <v>2019.3072066462705</v>
      </c>
      <c r="N16" s="17">
        <f>N11-N13+N14-N15</f>
        <v>3229.218253231617</v>
      </c>
      <c r="O16" s="17">
        <f>O11-O13+O14-O15</f>
        <v>3122.6471121340587</v>
      </c>
      <c r="P16" s="17">
        <f>P11-P13+P14-P15</f>
        <v>2384.578608841386</v>
      </c>
      <c r="Q16" s="17">
        <f t="shared" si="3"/>
        <v>11678.061471395999</v>
      </c>
      <c r="R16" s="17">
        <f>R11-R13+R14-R15</f>
        <v>2220.2064778535837</v>
      </c>
      <c r="S16" s="17">
        <f>S11-S13+S14-S15</f>
        <v>3484.9082347681974</v>
      </c>
      <c r="T16" s="17">
        <f>T11-T13+T14-T15</f>
        <v>3369.205308615762</v>
      </c>
      <c r="U16" s="17">
        <f>U11-U13+U14-U15</f>
        <v>2603.741450158456</v>
      </c>
      <c r="V16" s="17">
        <f t="shared" si="4"/>
        <v>12646.487276465801</v>
      </c>
      <c r="W16" s="17">
        <f>W11-W13+W14-W15</f>
        <v>2431.1507126212628</v>
      </c>
      <c r="X16" s="17">
        <f>X11-X13+X14-X15</f>
        <v>3753.382715381608</v>
      </c>
      <c r="Y16" s="17">
        <f>Y11-Y13+Y14-Y15</f>
        <v>3628.0914149215505</v>
      </c>
      <c r="Z16" s="17">
        <f>Z11-Z13+Z14-Z15</f>
        <v>2833.862433541379</v>
      </c>
      <c r="AA16" s="17">
        <f t="shared" si="5"/>
        <v>0</v>
      </c>
      <c r="AB16" s="17">
        <f>AB11-AB13+AB14-AB15</f>
        <v>0</v>
      </c>
      <c r="AC16" s="17">
        <f>AC11-AC13+AC14-AC15</f>
        <v>0</v>
      </c>
      <c r="AD16" s="17">
        <f>AD11-AD13+AD14-AD15</f>
        <v>0</v>
      </c>
      <c r="AE16" s="17">
        <f>AE11-AE13+AE14-AE15</f>
        <v>0</v>
      </c>
      <c r="AF16" s="13">
        <f t="shared" si="6"/>
        <v>50967.029727126246</v>
      </c>
    </row>
    <row r="17" spans="1:32" s="15" customFormat="1" ht="13.5" customHeight="1">
      <c r="A17" s="153" t="s">
        <v>198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</row>
    <row r="18" spans="1:32" s="15" customFormat="1" ht="15.75" customHeight="1">
      <c r="A18" s="13" t="s">
        <v>196</v>
      </c>
      <c r="B18" s="13">
        <f>SUM(C18:F18)</f>
        <v>6311.521000000001</v>
      </c>
      <c r="C18" s="13">
        <f>IF('таблицы в текст'!$D$35=1,'таблицы в текст'!$C$259,0)</f>
        <v>6311.521000000001</v>
      </c>
      <c r="D18" s="13">
        <f>IF('таблицы в текст'!$D$35=2,'таблицы в текст'!$C$259,0)</f>
        <v>0</v>
      </c>
      <c r="E18" s="13">
        <f>IF('таблицы в текст'!$D$35=3,'таблицы в текст'!$C$259,0)</f>
        <v>0</v>
      </c>
      <c r="F18" s="13">
        <f>IF('таблицы в текст'!$D$35=4,'таблицы в текст'!$C$259,0)</f>
        <v>0</v>
      </c>
      <c r="G18" s="13">
        <f>SUM(H18:K18)</f>
        <v>0</v>
      </c>
      <c r="H18" s="13"/>
      <c r="I18" s="13"/>
      <c r="J18" s="13"/>
      <c r="K18" s="13"/>
      <c r="L18" s="13">
        <f>SUM(M18:P18)</f>
        <v>0</v>
      </c>
      <c r="M18" s="13"/>
      <c r="N18" s="13"/>
      <c r="O18" s="13"/>
      <c r="P18" s="13"/>
      <c r="Q18" s="13">
        <f>SUM(R18:U18)</f>
        <v>0</v>
      </c>
      <c r="R18" s="13"/>
      <c r="S18" s="13"/>
      <c r="T18" s="13"/>
      <c r="U18" s="13"/>
      <c r="V18" s="13">
        <f>SUM(W18:Z18)</f>
        <v>0</v>
      </c>
      <c r="W18" s="13"/>
      <c r="X18" s="13"/>
      <c r="Y18" s="13"/>
      <c r="Z18" s="13"/>
      <c r="AA18" s="13">
        <f>SUM(AB18:AE18)</f>
        <v>0</v>
      </c>
      <c r="AB18" s="13"/>
      <c r="AC18" s="13"/>
      <c r="AD18" s="13"/>
      <c r="AE18" s="13"/>
      <c r="AF18" s="13">
        <f t="shared" si="6"/>
        <v>6311.521000000001</v>
      </c>
    </row>
    <row r="19" spans="1:32" s="16" customFormat="1" ht="15.75" customHeight="1">
      <c r="A19" s="17" t="s">
        <v>45</v>
      </c>
      <c r="B19" s="17">
        <f aca="true" t="shared" si="7" ref="B19:AE19">-B18</f>
        <v>-6311.521000000001</v>
      </c>
      <c r="C19" s="17">
        <f t="shared" si="7"/>
        <v>-6311.521000000001</v>
      </c>
      <c r="D19" s="17">
        <f t="shared" si="7"/>
        <v>0</v>
      </c>
      <c r="E19" s="17">
        <f t="shared" si="7"/>
        <v>0</v>
      </c>
      <c r="F19" s="17">
        <f t="shared" si="7"/>
        <v>0</v>
      </c>
      <c r="G19" s="17">
        <f t="shared" si="7"/>
        <v>0</v>
      </c>
      <c r="H19" s="17">
        <f t="shared" si="7"/>
        <v>0</v>
      </c>
      <c r="I19" s="17">
        <f t="shared" si="7"/>
        <v>0</v>
      </c>
      <c r="J19" s="17">
        <f t="shared" si="7"/>
        <v>0</v>
      </c>
      <c r="K19" s="17">
        <f t="shared" si="7"/>
        <v>0</v>
      </c>
      <c r="L19" s="17">
        <f t="shared" si="7"/>
        <v>0</v>
      </c>
      <c r="M19" s="17">
        <f t="shared" si="7"/>
        <v>0</v>
      </c>
      <c r="N19" s="17">
        <f t="shared" si="7"/>
        <v>0</v>
      </c>
      <c r="O19" s="17">
        <f t="shared" si="7"/>
        <v>0</v>
      </c>
      <c r="P19" s="17">
        <f t="shared" si="7"/>
        <v>0</v>
      </c>
      <c r="Q19" s="17">
        <f t="shared" si="7"/>
        <v>0</v>
      </c>
      <c r="R19" s="17">
        <f t="shared" si="7"/>
        <v>0</v>
      </c>
      <c r="S19" s="17">
        <f t="shared" si="7"/>
        <v>0</v>
      </c>
      <c r="T19" s="17">
        <f t="shared" si="7"/>
        <v>0</v>
      </c>
      <c r="U19" s="17">
        <f t="shared" si="7"/>
        <v>0</v>
      </c>
      <c r="V19" s="17">
        <f t="shared" si="7"/>
        <v>0</v>
      </c>
      <c r="W19" s="17">
        <f t="shared" si="7"/>
        <v>0</v>
      </c>
      <c r="X19" s="17">
        <f t="shared" si="7"/>
        <v>0</v>
      </c>
      <c r="Y19" s="17">
        <f t="shared" si="7"/>
        <v>0</v>
      </c>
      <c r="Z19" s="17">
        <f t="shared" si="7"/>
        <v>0</v>
      </c>
      <c r="AA19" s="17">
        <f t="shared" si="7"/>
        <v>0</v>
      </c>
      <c r="AB19" s="17">
        <f t="shared" si="7"/>
        <v>0</v>
      </c>
      <c r="AC19" s="17">
        <f t="shared" si="7"/>
        <v>0</v>
      </c>
      <c r="AD19" s="17">
        <f t="shared" si="7"/>
        <v>0</v>
      </c>
      <c r="AE19" s="17">
        <f t="shared" si="7"/>
        <v>0</v>
      </c>
      <c r="AF19" s="13">
        <f t="shared" si="6"/>
        <v>-6311.521000000001</v>
      </c>
    </row>
    <row r="20" spans="1:32" s="15" customFormat="1" ht="13.5" customHeight="1">
      <c r="A20" s="153" t="s">
        <v>199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</row>
    <row r="21" spans="1:32" s="15" customFormat="1" ht="12.75">
      <c r="A21" s="38" t="s">
        <v>46</v>
      </c>
      <c r="B21" s="14">
        <f>B23+B24</f>
        <v>1410.151136986302</v>
      </c>
      <c r="C21" s="14">
        <f>C23+C24</f>
        <v>1410.151136986302</v>
      </c>
      <c r="D21" s="14">
        <f>D23+D24</f>
        <v>0</v>
      </c>
      <c r="E21" s="14">
        <f>E23+E24</f>
        <v>0</v>
      </c>
      <c r="F21" s="14">
        <f>F23+F24</f>
        <v>0</v>
      </c>
      <c r="G21" s="14">
        <f aca="true" t="shared" si="8" ref="G21:AE21">G23+G24</f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8"/>
        <v>0</v>
      </c>
      <c r="P21" s="14">
        <f t="shared" si="8"/>
        <v>0</v>
      </c>
      <c r="Q21" s="14">
        <f t="shared" si="8"/>
        <v>0</v>
      </c>
      <c r="R21" s="14">
        <f t="shared" si="8"/>
        <v>0</v>
      </c>
      <c r="S21" s="14">
        <f t="shared" si="8"/>
        <v>0</v>
      </c>
      <c r="T21" s="14">
        <f t="shared" si="8"/>
        <v>0</v>
      </c>
      <c r="U21" s="14">
        <f t="shared" si="8"/>
        <v>0</v>
      </c>
      <c r="V21" s="14">
        <f t="shared" si="8"/>
        <v>0</v>
      </c>
      <c r="W21" s="14">
        <f t="shared" si="8"/>
        <v>0</v>
      </c>
      <c r="X21" s="14">
        <f t="shared" si="8"/>
        <v>0</v>
      </c>
      <c r="Y21" s="14">
        <f t="shared" si="8"/>
        <v>0</v>
      </c>
      <c r="Z21" s="14">
        <f t="shared" si="8"/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3">
        <f aca="true" t="shared" si="9" ref="AF21:AF29">AA21+V21+Q21+L21+G21+B21</f>
        <v>1410.151136986302</v>
      </c>
    </row>
    <row r="22" spans="1:32" s="27" customFormat="1" ht="12" customHeight="1">
      <c r="A22" s="39" t="s">
        <v>9</v>
      </c>
      <c r="B22" s="14">
        <f>SUM(D22:F22)</f>
        <v>0</v>
      </c>
      <c r="C22" s="26"/>
      <c r="D22" s="26"/>
      <c r="E22" s="26"/>
      <c r="F22" s="26"/>
      <c r="G22" s="14">
        <f aca="true" t="shared" si="10" ref="G22:G27">SUM(H22:K22)</f>
        <v>0</v>
      </c>
      <c r="H22" s="26"/>
      <c r="I22" s="26"/>
      <c r="J22" s="26"/>
      <c r="K22" s="26"/>
      <c r="L22" s="14">
        <f aca="true" t="shared" si="11" ref="L22:L27">SUM(M22:P22)</f>
        <v>0</v>
      </c>
      <c r="M22" s="26"/>
      <c r="N22" s="26"/>
      <c r="O22" s="26"/>
      <c r="P22" s="26"/>
      <c r="Q22" s="14">
        <f aca="true" t="shared" si="12" ref="Q22:Q27">SUM(R22:U22)</f>
        <v>0</v>
      </c>
      <c r="R22" s="26"/>
      <c r="S22" s="26"/>
      <c r="T22" s="26"/>
      <c r="U22" s="26"/>
      <c r="V22" s="14">
        <f aca="true" t="shared" si="13" ref="V22:V27">SUM(W22:Z22)</f>
        <v>0</v>
      </c>
      <c r="W22" s="26"/>
      <c r="X22" s="26"/>
      <c r="Y22" s="26"/>
      <c r="Z22" s="26"/>
      <c r="AA22" s="14">
        <f aca="true" t="shared" si="14" ref="AA22:AA27">SUM(AB22:AE22)</f>
        <v>0</v>
      </c>
      <c r="AB22" s="26"/>
      <c r="AC22" s="26"/>
      <c r="AD22" s="26"/>
      <c r="AE22" s="26"/>
      <c r="AF22" s="13">
        <f t="shared" si="9"/>
        <v>0</v>
      </c>
    </row>
    <row r="23" spans="1:32" s="27" customFormat="1" ht="12.75">
      <c r="A23" s="39" t="s">
        <v>197</v>
      </c>
      <c r="B23" s="14">
        <f>SUM(C23:F23)</f>
        <v>1311.5210000000006</v>
      </c>
      <c r="C23" s="26">
        <f>IF(C18&gt;0,'таблицы в текст'!C245,0)</f>
        <v>1311.5210000000006</v>
      </c>
      <c r="D23" s="26">
        <f>IF(D18&gt;0,'таблицы в текст'!D245,0)</f>
        <v>0</v>
      </c>
      <c r="E23" s="26">
        <f>IF(E18&gt;0,'таблицы в текст'!E245,0)</f>
        <v>0</v>
      </c>
      <c r="F23" s="26">
        <f>IF(F18&gt;0,'таблицы в текст'!F245,0)</f>
        <v>0</v>
      </c>
      <c r="G23" s="14">
        <f t="shared" si="10"/>
        <v>0</v>
      </c>
      <c r="H23" s="26">
        <f>IF(H18&gt;0,'таблицы в текст'!H245,0)</f>
        <v>0</v>
      </c>
      <c r="I23" s="26">
        <f>IF(I18&gt;0,'таблицы в текст'!I245,0)</f>
        <v>0</v>
      </c>
      <c r="J23" s="26">
        <f>IF(J18&gt;0,'таблицы в текст'!J245,0)</f>
        <v>0</v>
      </c>
      <c r="K23" s="26">
        <f>IF(K18&gt;0,'таблицы в текст'!K245,0)</f>
        <v>0</v>
      </c>
      <c r="L23" s="14">
        <f t="shared" si="11"/>
        <v>0</v>
      </c>
      <c r="M23" s="26">
        <f>IF(M18&gt;0,'таблицы в текст'!M245,0)</f>
        <v>0</v>
      </c>
      <c r="N23" s="26">
        <f>IF(N18&gt;0,'таблицы в текст'!N245,0)</f>
        <v>0</v>
      </c>
      <c r="O23" s="26">
        <f>IF(O18&gt;0,'таблицы в текст'!O245,0)</f>
        <v>0</v>
      </c>
      <c r="P23" s="26">
        <f>IF(P18&gt;0,'таблицы в текст'!P245,0)</f>
        <v>0</v>
      </c>
      <c r="Q23" s="14">
        <f t="shared" si="12"/>
        <v>0</v>
      </c>
      <c r="R23" s="26">
        <f>IF(R18&gt;0,'таблицы в текст'!R245,0)</f>
        <v>0</v>
      </c>
      <c r="S23" s="26">
        <f>IF(S18&gt;0,'таблицы в текст'!S245,0)</f>
        <v>0</v>
      </c>
      <c r="T23" s="26">
        <f>IF(T18&gt;0,'таблицы в текст'!T245,0)</f>
        <v>0</v>
      </c>
      <c r="U23" s="26">
        <f>IF(U18&gt;0,'таблицы в текст'!U245,0)</f>
        <v>0</v>
      </c>
      <c r="V23" s="14">
        <f t="shared" si="13"/>
        <v>0</v>
      </c>
      <c r="W23" s="26">
        <f>IF(W18&gt;0,'таблицы в текст'!W245,0)</f>
        <v>0</v>
      </c>
      <c r="X23" s="26">
        <f>IF(X18&gt;0,'таблицы в текст'!X245,0)</f>
        <v>0</v>
      </c>
      <c r="Y23" s="26">
        <f>IF(Y18&gt;0,'таблицы в текст'!Y245,0)</f>
        <v>0</v>
      </c>
      <c r="Z23" s="26">
        <f>IF(Z18&gt;0,'таблицы в текст'!Z245,0)</f>
        <v>0</v>
      </c>
      <c r="AA23" s="14">
        <f t="shared" si="14"/>
        <v>0</v>
      </c>
      <c r="AB23" s="26">
        <f>IF(AB18&gt;0,'таблицы в текст'!AB245,0)</f>
        <v>0</v>
      </c>
      <c r="AC23" s="26">
        <f>IF(AC18&gt;0,'таблицы в текст'!AC245,0)</f>
        <v>0</v>
      </c>
      <c r="AD23" s="26">
        <f>IF(AD18&gt;0,'таблицы в текст'!AD245,0)</f>
        <v>0</v>
      </c>
      <c r="AE23" s="26">
        <f>IF(AE18&gt;0,'таблицы в текст'!AE245,0)</f>
        <v>0</v>
      </c>
      <c r="AF23" s="13">
        <f t="shared" si="9"/>
        <v>1311.5210000000006</v>
      </c>
    </row>
    <row r="24" spans="1:32" s="27" customFormat="1" ht="12.75">
      <c r="A24" s="39" t="s">
        <v>33</v>
      </c>
      <c r="B24" s="26">
        <f>SUM(C24:F24)</f>
        <v>98.63013698630137</v>
      </c>
      <c r="C24" s="26">
        <f>IF(C11=0,C26,0)</f>
        <v>98.63013698630137</v>
      </c>
      <c r="D24" s="26">
        <f>IF(D11=0,D26,0)</f>
        <v>0</v>
      </c>
      <c r="E24" s="26">
        <f>IF(E11=0,E26,0)</f>
        <v>0</v>
      </c>
      <c r="F24" s="26">
        <f>IF(F11=0,F26,0)</f>
        <v>0</v>
      </c>
      <c r="G24" s="26">
        <f t="shared" si="10"/>
        <v>0</v>
      </c>
      <c r="H24" s="26">
        <f>IF(H11=0,H26,0)</f>
        <v>0</v>
      </c>
      <c r="I24" s="26">
        <f>IF(I11=0,I26,0)</f>
        <v>0</v>
      </c>
      <c r="J24" s="26">
        <f>IF(J11=0,J26,0)</f>
        <v>0</v>
      </c>
      <c r="K24" s="26">
        <f>IF(K11=0,K26,0)</f>
        <v>0</v>
      </c>
      <c r="L24" s="26">
        <f t="shared" si="11"/>
        <v>0</v>
      </c>
      <c r="M24" s="26">
        <f>IF(M11=0,M26,0)</f>
        <v>0</v>
      </c>
      <c r="N24" s="26">
        <f>IF(N11=0,N26,0)</f>
        <v>0</v>
      </c>
      <c r="O24" s="26">
        <f>IF(O11=0,O26,0)</f>
        <v>0</v>
      </c>
      <c r="P24" s="26">
        <f>IF(P11=0,P26,0)</f>
        <v>0</v>
      </c>
      <c r="Q24" s="26">
        <f t="shared" si="12"/>
        <v>0</v>
      </c>
      <c r="R24" s="26">
        <f>IF(R11=0,R26,0)</f>
        <v>0</v>
      </c>
      <c r="S24" s="26">
        <f>IF(S11=0,S26,0)</f>
        <v>0</v>
      </c>
      <c r="T24" s="26">
        <f>IF(T11=0,T26,0)</f>
        <v>0</v>
      </c>
      <c r="U24" s="26">
        <f>IF(U11=0,U26,0)</f>
        <v>0</v>
      </c>
      <c r="V24" s="26">
        <f t="shared" si="13"/>
        <v>0</v>
      </c>
      <c r="W24" s="26">
        <f>IF(W11=0,W26,0)</f>
        <v>0</v>
      </c>
      <c r="X24" s="26">
        <f>IF(X11=0,X26,0)</f>
        <v>0</v>
      </c>
      <c r="Y24" s="26">
        <f>IF(Y11=0,Y26,0)</f>
        <v>0</v>
      </c>
      <c r="Z24" s="26">
        <f>IF(Z11=0,Z26,0)</f>
        <v>0</v>
      </c>
      <c r="AA24" s="26">
        <f t="shared" si="14"/>
        <v>0</v>
      </c>
      <c r="AB24" s="26">
        <f>IF(AB11=0,AB26,0)</f>
        <v>0</v>
      </c>
      <c r="AC24" s="26">
        <f>IF(AC11=0,AC26,0)</f>
        <v>0</v>
      </c>
      <c r="AD24" s="26">
        <f>IF(AD11=0,AD26,0)</f>
        <v>0</v>
      </c>
      <c r="AE24" s="26">
        <f>IF(AE11=0,AE26,0)</f>
        <v>0</v>
      </c>
      <c r="AF24" s="13">
        <f t="shared" si="9"/>
        <v>98.63013698630137</v>
      </c>
    </row>
    <row r="25" spans="1:32" s="15" customFormat="1" ht="15" customHeight="1">
      <c r="A25" s="38" t="s">
        <v>44</v>
      </c>
      <c r="B25" s="14">
        <f>SUM(C25:F25)</f>
        <v>5000</v>
      </c>
      <c r="C25" s="14">
        <f>IF(C18&gt;0,'таблицы в текст'!$C$241,0)</f>
        <v>5000</v>
      </c>
      <c r="D25" s="14">
        <f>IF(D18&gt;0,'таблицы в текст'!$C$241,0)</f>
        <v>0</v>
      </c>
      <c r="E25" s="14">
        <f>IF(E18&gt;0,'таблицы в текст'!$C$241,0)</f>
        <v>0</v>
      </c>
      <c r="F25" s="14">
        <f>IF(F18&gt;0,'таблицы в текст'!$C$241,0)</f>
        <v>0</v>
      </c>
      <c r="G25" s="26">
        <f t="shared" si="10"/>
        <v>0</v>
      </c>
      <c r="H25" s="14"/>
      <c r="I25" s="14"/>
      <c r="J25" s="14"/>
      <c r="K25" s="14"/>
      <c r="L25" s="26">
        <f t="shared" si="11"/>
        <v>0</v>
      </c>
      <c r="M25" s="14"/>
      <c r="N25" s="14"/>
      <c r="O25" s="14"/>
      <c r="P25" s="14"/>
      <c r="Q25" s="26">
        <f t="shared" si="12"/>
        <v>0</v>
      </c>
      <c r="R25" s="14"/>
      <c r="S25" s="14"/>
      <c r="T25" s="14"/>
      <c r="U25" s="14"/>
      <c r="V25" s="26">
        <f t="shared" si="13"/>
        <v>0</v>
      </c>
      <c r="W25" s="14"/>
      <c r="X25" s="14"/>
      <c r="Y25" s="14"/>
      <c r="Z25" s="14"/>
      <c r="AA25" s="26">
        <f t="shared" si="14"/>
        <v>0</v>
      </c>
      <c r="AB25" s="14"/>
      <c r="AC25" s="14"/>
      <c r="AD25" s="14"/>
      <c r="AE25" s="14"/>
      <c r="AF25" s="13">
        <f t="shared" si="9"/>
        <v>5000</v>
      </c>
    </row>
    <row r="26" spans="1:32" s="15" customFormat="1" ht="17.25" customHeight="1">
      <c r="A26" s="14" t="s">
        <v>47</v>
      </c>
      <c r="B26" s="14">
        <f>SUM(C26:F26)</f>
        <v>387.05473243059566</v>
      </c>
      <c r="C26" s="14">
        <f>'таблицы в текст'!C271</f>
        <v>98.63013698630137</v>
      </c>
      <c r="D26" s="14">
        <f>'таблицы в текст'!D271</f>
        <v>99.72602739726027</v>
      </c>
      <c r="E26" s="14">
        <f>'таблицы в текст'!E271</f>
        <v>96.52832187199395</v>
      </c>
      <c r="F26" s="14">
        <f>'таблицы в текст'!F271</f>
        <v>92.17024617504008</v>
      </c>
      <c r="G26" s="14">
        <f t="shared" si="10"/>
        <v>320.35049539918435</v>
      </c>
      <c r="H26" s="14">
        <f>'таблицы в текст'!C278</f>
        <v>85.81724272970428</v>
      </c>
      <c r="I26" s="14">
        <f>'таблицы в текст'!D278</f>
        <v>82.24642766558004</v>
      </c>
      <c r="J26" s="14">
        <f>'таблицы в текст'!E278</f>
        <v>78.50417327328516</v>
      </c>
      <c r="K26" s="14">
        <f>'таблицы в текст'!F278</f>
        <v>73.78265173061486</v>
      </c>
      <c r="L26" s="14">
        <f t="shared" si="11"/>
        <v>243.66619821569597</v>
      </c>
      <c r="M26" s="14">
        <f>'таблицы в текст'!C285</f>
        <v>67.46666440750785</v>
      </c>
      <c r="N26" s="14">
        <f>'таблицы в текст'!D285</f>
        <v>63.32594797338956</v>
      </c>
      <c r="O26" s="14">
        <f>'таблицы в текст'!E285</f>
        <v>58.99425641215623</v>
      </c>
      <c r="P26" s="14">
        <f>'таблицы в текст'!F285</f>
        <v>53.87932942264232</v>
      </c>
      <c r="Q26" s="14">
        <f t="shared" si="12"/>
        <v>160.66065404751598</v>
      </c>
      <c r="R26" s="14">
        <f>'таблицы в текст'!C292</f>
        <v>47.603409538130286</v>
      </c>
      <c r="S26" s="14">
        <f>'таблицы в текст'!D292</f>
        <v>42.84581357226958</v>
      </c>
      <c r="T26" s="14">
        <f>'таблицы в текст'!E292</f>
        <v>37.87609630358771</v>
      </c>
      <c r="U26" s="14">
        <f>'таблицы в текст'!F292</f>
        <v>32.335334633528426</v>
      </c>
      <c r="V26" s="14">
        <f t="shared" si="13"/>
        <v>70.81278928623846</v>
      </c>
      <c r="W26" s="14">
        <f>'таблицы в текст'!C299</f>
        <v>26.102785030366714</v>
      </c>
      <c r="X26" s="14">
        <f>'таблицы в текст'!D299</f>
        <v>20.67745886289807</v>
      </c>
      <c r="Y26" s="14">
        <f>'таблицы в текст'!E299</f>
        <v>15.017122093416285</v>
      </c>
      <c r="Z26" s="14">
        <f>'таблицы в текст'!F299</f>
        <v>9.015423299557384</v>
      </c>
      <c r="AA26" s="14">
        <f t="shared" si="14"/>
        <v>0</v>
      </c>
      <c r="AB26" s="14">
        <f>'таблицы в текст'!C306</f>
        <v>0</v>
      </c>
      <c r="AC26" s="14">
        <f>'таблицы в текст'!D306</f>
        <v>0</v>
      </c>
      <c r="AD26" s="14">
        <f>'таблицы в текст'!E306</f>
        <v>0</v>
      </c>
      <c r="AE26" s="14">
        <f>'таблицы в текст'!F306</f>
        <v>0</v>
      </c>
      <c r="AF26" s="13">
        <f t="shared" si="9"/>
        <v>1182.5448693792305</v>
      </c>
    </row>
    <row r="27" spans="1:32" s="15" customFormat="1" ht="18.75" customHeight="1">
      <c r="A27" s="14" t="s">
        <v>48</v>
      </c>
      <c r="B27" s="14">
        <f>SUM(C27:F27)</f>
        <v>649.5425560636036</v>
      </c>
      <c r="C27" s="14">
        <f>'таблицы в текст'!C272</f>
        <v>0</v>
      </c>
      <c r="D27" s="14">
        <f>'таблицы в текст'!D272</f>
        <v>212.929689772039</v>
      </c>
      <c r="E27" s="14">
        <f>'таблицы в текст'!E272</f>
        <v>216.12739529730533</v>
      </c>
      <c r="F27" s="14">
        <f>'таблицы в текст'!F272</f>
        <v>220.48547099425923</v>
      </c>
      <c r="G27" s="14">
        <f t="shared" si="10"/>
        <v>930.2723732780129</v>
      </c>
      <c r="H27" s="14">
        <f>'таблицы в текст'!C279</f>
        <v>226.83847443959502</v>
      </c>
      <c r="I27" s="14">
        <f>'таблицы в текст'!D279</f>
        <v>230.40928950371926</v>
      </c>
      <c r="J27" s="14">
        <f>'таблицы в текст'!E279</f>
        <v>234.15154389601412</v>
      </c>
      <c r="K27" s="14">
        <f>'таблицы в текст'!F279</f>
        <v>238.87306543868442</v>
      </c>
      <c r="L27" s="14">
        <f t="shared" si="11"/>
        <v>1006.9566704615012</v>
      </c>
      <c r="M27" s="14">
        <f>'таблицы в текст'!C286</f>
        <v>245.18905276179146</v>
      </c>
      <c r="N27" s="14">
        <f>'таблицы в текст'!D286</f>
        <v>249.32976919590973</v>
      </c>
      <c r="O27" s="14">
        <f>'таблицы в текст'!E286</f>
        <v>253.66146075714306</v>
      </c>
      <c r="P27" s="14">
        <f>'таблицы в текст'!F286</f>
        <v>258.77638774665695</v>
      </c>
      <c r="Q27" s="13">
        <f t="shared" si="12"/>
        <v>1089.9622146296813</v>
      </c>
      <c r="R27" s="14">
        <f>'таблицы в текст'!C293</f>
        <v>265.052307631169</v>
      </c>
      <c r="S27" s="14">
        <f>'таблицы в текст'!D293</f>
        <v>269.8099035970297</v>
      </c>
      <c r="T27" s="14">
        <f>'таблицы в текст'!E293</f>
        <v>274.7796208657116</v>
      </c>
      <c r="U27" s="14">
        <f>'таблицы в текст'!F293</f>
        <v>280.3203825357709</v>
      </c>
      <c r="V27" s="14">
        <f t="shared" si="13"/>
        <v>1323.2661855672013</v>
      </c>
      <c r="W27" s="14">
        <f>'таблицы в текст'!C300</f>
        <v>286.5529321389326</v>
      </c>
      <c r="X27" s="14">
        <f>'таблицы в текст'!D300</f>
        <v>291.97825830640124</v>
      </c>
      <c r="Y27" s="14">
        <f>'таблицы в текст'!E300</f>
        <v>297.638595075883</v>
      </c>
      <c r="Z27" s="14">
        <f>'таблицы в текст'!F300</f>
        <v>447.0964000459844</v>
      </c>
      <c r="AA27" s="13">
        <f t="shared" si="14"/>
        <v>0</v>
      </c>
      <c r="AB27" s="14">
        <f>'таблицы в текст'!C307</f>
        <v>0</v>
      </c>
      <c r="AC27" s="14">
        <f>'таблицы в текст'!D307</f>
        <v>0</v>
      </c>
      <c r="AD27" s="14">
        <f>'таблицы в текст'!E307</f>
        <v>0</v>
      </c>
      <c r="AE27" s="14">
        <f>'таблицы в текст'!F307</f>
        <v>0</v>
      </c>
      <c r="AF27" s="13">
        <f t="shared" si="9"/>
        <v>5000</v>
      </c>
    </row>
    <row r="28" spans="1:32" s="16" customFormat="1" ht="19.5" customHeight="1">
      <c r="A28" s="17" t="s">
        <v>49</v>
      </c>
      <c r="B28" s="14">
        <f>B21+B25-B26-B27</f>
        <v>5373.5538484921035</v>
      </c>
      <c r="C28" s="14">
        <f aca="true" t="shared" si="15" ref="C28:AF28">C21+C25-C26-C27</f>
        <v>6311.521000000001</v>
      </c>
      <c r="D28" s="14">
        <f t="shared" si="15"/>
        <v>-312.6557171692993</v>
      </c>
      <c r="E28" s="14">
        <f t="shared" si="15"/>
        <v>-312.6557171692993</v>
      </c>
      <c r="F28" s="14">
        <f t="shared" si="15"/>
        <v>-312.6557171692993</v>
      </c>
      <c r="G28" s="14">
        <f t="shared" si="15"/>
        <v>-1250.6228686771972</v>
      </c>
      <c r="H28" s="14">
        <f t="shared" si="15"/>
        <v>-312.6557171692993</v>
      </c>
      <c r="I28" s="14">
        <f t="shared" si="15"/>
        <v>-312.6557171692993</v>
      </c>
      <c r="J28" s="14">
        <f t="shared" si="15"/>
        <v>-312.6557171692993</v>
      </c>
      <c r="K28" s="14">
        <f t="shared" si="15"/>
        <v>-312.6557171692993</v>
      </c>
      <c r="L28" s="14">
        <f t="shared" si="15"/>
        <v>-1250.6228686771972</v>
      </c>
      <c r="M28" s="14">
        <f t="shared" si="15"/>
        <v>-312.6557171692993</v>
      </c>
      <c r="N28" s="14">
        <f t="shared" si="15"/>
        <v>-312.6557171692993</v>
      </c>
      <c r="O28" s="14">
        <f t="shared" si="15"/>
        <v>-312.6557171692993</v>
      </c>
      <c r="P28" s="14">
        <f t="shared" si="15"/>
        <v>-312.6557171692993</v>
      </c>
      <c r="Q28" s="14">
        <f t="shared" si="15"/>
        <v>-1250.6228686771972</v>
      </c>
      <c r="R28" s="14">
        <f t="shared" si="15"/>
        <v>-312.6557171692993</v>
      </c>
      <c r="S28" s="14">
        <f t="shared" si="15"/>
        <v>-312.65571716929924</v>
      </c>
      <c r="T28" s="14">
        <f t="shared" si="15"/>
        <v>-312.6557171692993</v>
      </c>
      <c r="U28" s="14">
        <f t="shared" si="15"/>
        <v>-312.6557171692993</v>
      </c>
      <c r="V28" s="14">
        <f t="shared" si="15"/>
        <v>-1394.0789748534398</v>
      </c>
      <c r="W28" s="14">
        <f t="shared" si="15"/>
        <v>-312.6557171692993</v>
      </c>
      <c r="X28" s="14">
        <f t="shared" si="15"/>
        <v>-312.6557171692993</v>
      </c>
      <c r="Y28" s="14">
        <f t="shared" si="15"/>
        <v>-312.6557171692993</v>
      </c>
      <c r="Z28" s="14">
        <f t="shared" si="15"/>
        <v>-456.1118233455418</v>
      </c>
      <c r="AA28" s="14">
        <f t="shared" si="15"/>
        <v>0</v>
      </c>
      <c r="AB28" s="14">
        <f t="shared" si="15"/>
        <v>0</v>
      </c>
      <c r="AC28" s="14">
        <f t="shared" si="15"/>
        <v>0</v>
      </c>
      <c r="AD28" s="14">
        <f t="shared" si="15"/>
        <v>0</v>
      </c>
      <c r="AE28" s="14">
        <f t="shared" si="15"/>
        <v>0</v>
      </c>
      <c r="AF28" s="14">
        <f t="shared" si="15"/>
        <v>227.60626760707146</v>
      </c>
    </row>
    <row r="29" spans="1:32" s="40" customFormat="1" ht="29.25" customHeight="1">
      <c r="A29" s="22" t="s">
        <v>52</v>
      </c>
      <c r="B29" s="14">
        <f aca="true" t="shared" si="16" ref="B29:AE29">B28+B19+B16</f>
        <v>5071.402218947656</v>
      </c>
      <c r="C29" s="14">
        <f t="shared" si="16"/>
        <v>0</v>
      </c>
      <c r="D29" s="14">
        <f t="shared" si="16"/>
        <v>1840.0101203339345</v>
      </c>
      <c r="E29" s="14">
        <f t="shared" si="16"/>
        <v>1833.9555079231054</v>
      </c>
      <c r="F29" s="14">
        <f t="shared" si="16"/>
        <v>1397.4365906906155</v>
      </c>
      <c r="G29" s="14">
        <f t="shared" si="16"/>
        <v>8626.737559278357</v>
      </c>
      <c r="H29" s="14">
        <f t="shared" si="16"/>
        <v>1515.3188502319103</v>
      </c>
      <c r="I29" s="14">
        <f t="shared" si="16"/>
        <v>2673.0482679322404</v>
      </c>
      <c r="J29" s="14">
        <f t="shared" si="16"/>
        <v>2575.1740649821854</v>
      </c>
      <c r="K29" s="14">
        <f t="shared" si="16"/>
        <v>1863.1963761320203</v>
      </c>
      <c r="L29" s="14">
        <f t="shared" si="16"/>
        <v>9505.128312176135</v>
      </c>
      <c r="M29" s="14">
        <f t="shared" si="16"/>
        <v>1706.6514894769712</v>
      </c>
      <c r="N29" s="14">
        <f t="shared" si="16"/>
        <v>2916.5625360623176</v>
      </c>
      <c r="O29" s="14">
        <f t="shared" si="16"/>
        <v>2809.9913949647594</v>
      </c>
      <c r="P29" s="14">
        <f t="shared" si="16"/>
        <v>2071.9228916720867</v>
      </c>
      <c r="Q29" s="14">
        <f t="shared" si="16"/>
        <v>10427.438602718801</v>
      </c>
      <c r="R29" s="14">
        <f t="shared" si="16"/>
        <v>1907.5507606842843</v>
      </c>
      <c r="S29" s="14">
        <f t="shared" si="16"/>
        <v>3172.252517598898</v>
      </c>
      <c r="T29" s="14">
        <f t="shared" si="16"/>
        <v>3056.5495914464627</v>
      </c>
      <c r="U29" s="14">
        <f t="shared" si="16"/>
        <v>2291.0857329891564</v>
      </c>
      <c r="V29" s="14">
        <f t="shared" si="16"/>
        <v>11252.408301612362</v>
      </c>
      <c r="W29" s="14">
        <f t="shared" si="16"/>
        <v>2118.4949954519634</v>
      </c>
      <c r="X29" s="14">
        <f t="shared" si="16"/>
        <v>3440.7269982123084</v>
      </c>
      <c r="Y29" s="14">
        <f t="shared" si="16"/>
        <v>3315.435697752251</v>
      </c>
      <c r="Z29" s="14">
        <f t="shared" si="16"/>
        <v>2377.750610195837</v>
      </c>
      <c r="AA29" s="14">
        <f t="shared" si="16"/>
        <v>0</v>
      </c>
      <c r="AB29" s="14">
        <f t="shared" si="16"/>
        <v>0</v>
      </c>
      <c r="AC29" s="14">
        <f t="shared" si="16"/>
        <v>0</v>
      </c>
      <c r="AD29" s="14">
        <f t="shared" si="16"/>
        <v>0</v>
      </c>
      <c r="AE29" s="14">
        <f t="shared" si="16"/>
        <v>0</v>
      </c>
      <c r="AF29" s="13">
        <f t="shared" si="9"/>
        <v>44883.11499473332</v>
      </c>
    </row>
    <row r="30" spans="1:32" s="40" customFormat="1" ht="17.25" customHeight="1">
      <c r="A30" s="22" t="s">
        <v>50</v>
      </c>
      <c r="B30" s="22">
        <v>0</v>
      </c>
      <c r="C30" s="22"/>
      <c r="D30" s="22"/>
      <c r="E30" s="22">
        <f>D31</f>
        <v>1840.0101203339345</v>
      </c>
      <c r="F30" s="22">
        <f>E31</f>
        <v>3673.96562825704</v>
      </c>
      <c r="G30" s="22">
        <f>B31</f>
        <v>5071.402218947656</v>
      </c>
      <c r="H30" s="22">
        <f>F31</f>
        <v>5071.4022189476555</v>
      </c>
      <c r="I30" s="22">
        <f>H31</f>
        <v>6586.721069179566</v>
      </c>
      <c r="J30" s="22">
        <f>I31</f>
        <v>9259.769337111808</v>
      </c>
      <c r="K30" s="22">
        <f>J31</f>
        <v>11834.943402093993</v>
      </c>
      <c r="L30" s="22">
        <f>G31</f>
        <v>13698.139778226014</v>
      </c>
      <c r="M30" s="22">
        <f>K31</f>
        <v>13698.139778226014</v>
      </c>
      <c r="N30" s="22">
        <f>M31</f>
        <v>15404.791267702985</v>
      </c>
      <c r="O30" s="22">
        <f>N31</f>
        <v>18321.3538037653</v>
      </c>
      <c r="P30" s="22">
        <f>O31</f>
        <v>21131.34519873006</v>
      </c>
      <c r="Q30" s="22">
        <f>L31</f>
        <v>23203.268090402147</v>
      </c>
      <c r="R30" s="22">
        <f>P31</f>
        <v>23203.268090402147</v>
      </c>
      <c r="S30" s="22">
        <f>R31</f>
        <v>25110.81885108643</v>
      </c>
      <c r="T30" s="22">
        <f>S31</f>
        <v>28283.07136868533</v>
      </c>
      <c r="U30" s="22">
        <f>T31</f>
        <v>31339.620960131793</v>
      </c>
      <c r="V30" s="22">
        <f>Q31</f>
        <v>33630.70669312095</v>
      </c>
      <c r="W30" s="22">
        <f>U31</f>
        <v>33630.70669312095</v>
      </c>
      <c r="X30" s="22">
        <f>W31</f>
        <v>35749.20168857291</v>
      </c>
      <c r="Y30" s="22">
        <f>X31</f>
        <v>39189.92868678522</v>
      </c>
      <c r="Z30" s="22">
        <f>Y31</f>
        <v>42505.364384537475</v>
      </c>
      <c r="AA30" s="22">
        <f>V31</f>
        <v>44883.11499473331</v>
      </c>
      <c r="AB30" s="22">
        <f>Z31</f>
        <v>44883.11499473331</v>
      </c>
      <c r="AC30" s="22">
        <f>AB31</f>
        <v>44883.11499473331</v>
      </c>
      <c r="AD30" s="22">
        <f>AC31</f>
        <v>44883.11499473331</v>
      </c>
      <c r="AE30" s="22">
        <f>AD31</f>
        <v>44883.11499473331</v>
      </c>
      <c r="AF30" s="22">
        <f>C30</f>
        <v>0</v>
      </c>
    </row>
    <row r="31" spans="1:32" s="42" customFormat="1" ht="13.5" customHeight="1" thickBot="1">
      <c r="A31" s="154" t="s">
        <v>51</v>
      </c>
      <c r="B31" s="154">
        <f aca="true" t="shared" si="17" ref="B31:G31">B30+B29</f>
        <v>5071.402218947656</v>
      </c>
      <c r="C31" s="154">
        <f t="shared" si="17"/>
        <v>0</v>
      </c>
      <c r="D31" s="154">
        <f t="shared" si="17"/>
        <v>1840.0101203339345</v>
      </c>
      <c r="E31" s="154">
        <f>E30+E29</f>
        <v>3673.96562825704</v>
      </c>
      <c r="F31" s="154">
        <f t="shared" si="17"/>
        <v>5071.4022189476555</v>
      </c>
      <c r="G31" s="154">
        <f t="shared" si="17"/>
        <v>13698.139778226014</v>
      </c>
      <c r="H31" s="154">
        <f>H30+H29</f>
        <v>6586.721069179566</v>
      </c>
      <c r="I31" s="154">
        <f aca="true" t="shared" si="18" ref="I31:S31">I30+I29</f>
        <v>9259.769337111808</v>
      </c>
      <c r="J31" s="154">
        <f t="shared" si="18"/>
        <v>11834.943402093993</v>
      </c>
      <c r="K31" s="154">
        <f t="shared" si="18"/>
        <v>13698.139778226014</v>
      </c>
      <c r="L31" s="154">
        <f t="shared" si="18"/>
        <v>23203.268090402147</v>
      </c>
      <c r="M31" s="154">
        <f t="shared" si="18"/>
        <v>15404.791267702985</v>
      </c>
      <c r="N31" s="154">
        <f t="shared" si="18"/>
        <v>18321.3538037653</v>
      </c>
      <c r="O31" s="154">
        <f t="shared" si="18"/>
        <v>21131.34519873006</v>
      </c>
      <c r="P31" s="154">
        <f t="shared" si="18"/>
        <v>23203.268090402147</v>
      </c>
      <c r="Q31" s="154">
        <f t="shared" si="18"/>
        <v>33630.70669312095</v>
      </c>
      <c r="R31" s="154">
        <f t="shared" si="18"/>
        <v>25110.81885108643</v>
      </c>
      <c r="S31" s="154">
        <f t="shared" si="18"/>
        <v>28283.07136868533</v>
      </c>
      <c r="T31" s="154">
        <f aca="true" t="shared" si="19" ref="T31:Z31">T30+T29</f>
        <v>31339.620960131793</v>
      </c>
      <c r="U31" s="154">
        <f t="shared" si="19"/>
        <v>33630.70669312095</v>
      </c>
      <c r="V31" s="154">
        <f t="shared" si="19"/>
        <v>44883.11499473331</v>
      </c>
      <c r="W31" s="154">
        <f t="shared" si="19"/>
        <v>35749.20168857291</v>
      </c>
      <c r="X31" s="154">
        <f t="shared" si="19"/>
        <v>39189.92868678522</v>
      </c>
      <c r="Y31" s="154">
        <f t="shared" si="19"/>
        <v>42505.364384537475</v>
      </c>
      <c r="Z31" s="154">
        <f t="shared" si="19"/>
        <v>44883.11499473331</v>
      </c>
      <c r="AA31" s="154">
        <f aca="true" t="shared" si="20" ref="AA31:AF31">AA30+AA29</f>
        <v>44883.11499473331</v>
      </c>
      <c r="AB31" s="154">
        <f t="shared" si="20"/>
        <v>44883.11499473331</v>
      </c>
      <c r="AC31" s="154">
        <f t="shared" si="20"/>
        <v>44883.11499473331</v>
      </c>
      <c r="AD31" s="154">
        <f t="shared" si="20"/>
        <v>44883.11499473331</v>
      </c>
      <c r="AE31" s="154">
        <f t="shared" si="20"/>
        <v>44883.11499473331</v>
      </c>
      <c r="AF31" s="154">
        <f t="shared" si="20"/>
        <v>44883.11499473332</v>
      </c>
    </row>
    <row r="32" spans="1:27" ht="13.5" customHeight="1" thickTop="1">
      <c r="A32" s="178"/>
      <c r="AA32" s="35"/>
    </row>
    <row r="33" spans="1:27" ht="13.5" customHeight="1">
      <c r="A33" s="179" t="s">
        <v>235</v>
      </c>
      <c r="B33" s="180"/>
      <c r="AA33" s="35"/>
    </row>
    <row r="34" ht="13.5" customHeight="1">
      <c r="AA34" s="35"/>
    </row>
    <row r="35" ht="13.5" customHeight="1">
      <c r="AA35" s="35"/>
    </row>
    <row r="36" ht="13.5" customHeight="1">
      <c r="AA36" s="35"/>
    </row>
    <row r="37" ht="13.5" customHeight="1">
      <c r="AA37" s="35"/>
    </row>
    <row r="38" ht="13.5" customHeight="1">
      <c r="AA38" s="35"/>
    </row>
    <row r="39" ht="13.5" customHeight="1">
      <c r="AA39" s="35"/>
    </row>
    <row r="40" ht="13.5" customHeight="1">
      <c r="AA40" s="35"/>
    </row>
    <row r="41" ht="13.5" customHeight="1">
      <c r="AA41" s="35"/>
    </row>
    <row r="42" ht="13.5" customHeight="1">
      <c r="AA42" s="35"/>
    </row>
    <row r="43" ht="13.5" customHeight="1">
      <c r="AA43" s="35"/>
    </row>
    <row r="44" ht="13.5" customHeight="1">
      <c r="AA44" s="35"/>
    </row>
    <row r="45" ht="13.5" customHeight="1">
      <c r="AA45" s="35"/>
    </row>
    <row r="46" ht="13.5" customHeight="1">
      <c r="AA46" s="35"/>
    </row>
    <row r="47" ht="13.5" customHeight="1">
      <c r="AA47" s="35"/>
    </row>
    <row r="48" ht="13.5" customHeight="1">
      <c r="AA48" s="35"/>
    </row>
    <row r="49" ht="13.5" customHeight="1">
      <c r="AA49" s="35"/>
    </row>
  </sheetData>
  <sheetProtection/>
  <mergeCells count="20">
    <mergeCell ref="C8:F8"/>
    <mergeCell ref="H8:K8"/>
    <mergeCell ref="R8:U8"/>
    <mergeCell ref="V7:Z7"/>
    <mergeCell ref="W8:Z8"/>
    <mergeCell ref="Q8:Q9"/>
    <mergeCell ref="L7:P7"/>
    <mergeCell ref="M8:P8"/>
    <mergeCell ref="Q7:U7"/>
    <mergeCell ref="V8:V9"/>
    <mergeCell ref="AA7:AE7"/>
    <mergeCell ref="AA8:AA9"/>
    <mergeCell ref="AB8:AE8"/>
    <mergeCell ref="AF7:AF9"/>
    <mergeCell ref="A7:A9"/>
    <mergeCell ref="G7:K7"/>
    <mergeCell ref="B7:F7"/>
    <mergeCell ref="L8:L9"/>
    <mergeCell ref="B8:B9"/>
    <mergeCell ref="G8:G9"/>
  </mergeCells>
  <printOptions horizontalCentered="1"/>
  <pageMargins left="0.15748031496062992" right="0.1968503937007874" top="0.3937007874015748" bottom="0.2362204724409449" header="0.7086614173228347" footer="0.6299212598425197"/>
  <pageSetup fitToWidth="2" fitToHeight="1" horizontalDpi="120" verticalDpi="12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 Божевольная З.А. BiZinvest14</dc:creator>
  <cp:keywords/>
  <dc:description/>
  <cp:lastModifiedBy>Пользователь Windows</cp:lastModifiedBy>
  <cp:lastPrinted>2019-09-20T14:08:57Z</cp:lastPrinted>
  <dcterms:created xsi:type="dcterms:W3CDTF">2004-11-08T08:09:30Z</dcterms:created>
  <dcterms:modified xsi:type="dcterms:W3CDTF">2019-09-20T18:30:00Z</dcterms:modified>
  <cp:category/>
  <cp:version/>
  <cp:contentType/>
  <cp:contentStatus/>
</cp:coreProperties>
</file>