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3875" windowHeight="8100" tabRatio="750" activeTab="0"/>
  </bookViews>
  <sheets>
    <sheet name="таблицы в текст" sheetId="1" r:id="rId1"/>
    <sheet name="приложение 1" sheetId="2" r:id="rId2"/>
    <sheet name="приложение 2" sheetId="3" r:id="rId3"/>
  </sheets>
  <externalReferences>
    <externalReference r:id="rId6"/>
  </externalReferences>
  <definedNames>
    <definedName name="_01.янв.19">#REF!</definedName>
    <definedName name="month_in_per">'[1]Input'!$D$41</definedName>
    <definedName name="график">#REF!</definedName>
    <definedName name="Даты">#REF!</definedName>
    <definedName name="_xlnm.Print_Titles" localSheetId="1">'приложение 1'!$A:$A</definedName>
    <definedName name="_xlnm.Print_Titles" localSheetId="2">'приложение 2'!$A:$A,'приложение 2'!$7:$9</definedName>
    <definedName name="_xlnm.Print_Area" localSheetId="1">'приложение 1'!$A$1:$AF$36</definedName>
    <definedName name="_xlnm.Print_Area" localSheetId="2">'приложение 2'!$A$1:$AF$35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33" authorId="0">
      <text>
        <r>
          <rPr>
            <sz val="9"/>
            <rFont val="Arial"/>
            <family val="2"/>
          </rPr>
          <t xml:space="preserve">Вписываете год, в который планируете начать проект
</t>
        </r>
      </text>
    </comment>
    <comment ref="D35" authorId="0">
      <text>
        <r>
          <rPr>
            <sz val="9"/>
            <rFont val="Arial"/>
            <family val="2"/>
          </rPr>
          <t xml:space="preserve">Вписываете номер шага (квартала). Например, "1" соответствует первому кварталу года, в который планируете начать проект, а "4" - 1 кварталу года, следующего за тем, в котором планируется начать проект
</t>
        </r>
      </text>
    </comment>
    <comment ref="D38" authorId="0">
      <text>
        <r>
          <rPr>
            <sz val="9"/>
            <rFont val="Tahoma"/>
            <family val="2"/>
          </rPr>
          <t>Вписываете номер шага (квартала). Например, "2" соответствует второму кварталу года, в который планируете начать проект, а "4" - первому кварталу года, следующего за тем, в котором планируется начать проект</t>
        </r>
      </text>
    </comment>
    <comment ref="E95" authorId="0">
      <text>
        <r>
          <rPr>
            <sz val="9"/>
            <rFont val="Arial"/>
            <family val="2"/>
          </rPr>
          <t xml:space="preserve">Кд - поправочный коэффициент к стоимости доставки оборудовани. 
Ориентировочно Кд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- 1,1;
3. Центральная группа (Хангаласский, Намский, Горный муниципальные районы) - 1,3;
4. Арктическая группа (Абыйский, Аллаиховский, Анабарский, Булунский, Нижнеколымский, Оленекский муниципальные районы) - 1,4 </t>
        </r>
        <r>
          <rPr>
            <sz val="9"/>
            <rFont val="Tahoma"/>
            <family val="2"/>
          </rPr>
          <t xml:space="preserve">
Примечание: Вы можете указать точную стоимость доставки, тогда Кд следует принять равным 1.</t>
        </r>
      </text>
    </comment>
    <comment ref="D191" authorId="0">
      <text>
        <r>
          <rPr>
            <sz val="9"/>
            <rFont val="Tahoma"/>
            <family val="2"/>
          </rPr>
          <t>Нормы по видам тепловой энергии (ориентировочно):
1) центральное отопление - 0,5616 Гкал
2) электрические котлы - 671 кВт*ч
3) газовые котлы - 60 куб. м
4) уголь - 110 кг</t>
        </r>
      </text>
    </comment>
    <comment ref="E191" authorId="0">
      <text>
        <r>
          <rPr>
            <sz val="9"/>
            <rFont val="Arial"/>
            <family val="2"/>
          </rPr>
          <t>Коэффициент К1 - это поправка за климатическую зону.
К1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- 1,01;
3. Центральная группа (Хангаласский, Намский, Горный муниципальные районы) - 1,04;
4. Арктическая группа (Абыйский, Аллаиховский, Анабарский, Булунский, Нижнеколымский, Оленекский муниципальные районы) - 1,19</t>
        </r>
      </text>
    </comment>
    <comment ref="B269" authorId="0">
      <text>
        <r>
          <rPr>
            <sz val="9"/>
            <rFont val="Times New Roman"/>
            <family val="1"/>
          </rPr>
          <t xml:space="preserve">Некапитализируемые расходы - это расходы не вошедшие в другие группы расходов, но требуемые для начала реализации проекта (например, расходы на обучение персонала, расходы на маркетинг, авансовая оплата за аренду </t>
        </r>
        <r>
          <rPr>
            <sz val="9"/>
            <rFont val="Tahoma"/>
            <family val="2"/>
          </rPr>
          <t xml:space="preserve"> </t>
        </r>
      </text>
    </comment>
    <comment ref="G14" authorId="0">
      <text>
        <r>
          <rPr>
            <sz val="9"/>
            <rFont val="Tahoma"/>
            <family val="2"/>
          </rPr>
          <t>Ячейка с примечанием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<sst xmlns="http://schemas.openxmlformats.org/spreadsheetml/2006/main" count="509" uniqueCount="361">
  <si>
    <t>Индекс доходности инвестиций</t>
  </si>
  <si>
    <t>Внутренняя норма доходности</t>
  </si>
  <si>
    <t>Показатель</t>
  </si>
  <si>
    <t>Ед. изм.</t>
  </si>
  <si>
    <t>2 кв.</t>
  </si>
  <si>
    <t>Показатели</t>
  </si>
  <si>
    <t>всего</t>
  </si>
  <si>
    <t>по кварталам</t>
  </si>
  <si>
    <t>тыс. руб.</t>
  </si>
  <si>
    <t>в том числе:</t>
  </si>
  <si>
    <t>ВСЕГО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</si>
  <si>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</si>
  <si>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</si>
  <si>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</si>
  <si>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</si>
  <si>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</si>
  <si>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</si>
  <si>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</si>
  <si>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</si>
  <si>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</si>
  <si>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</si>
  <si>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</si>
  <si>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</si>
  <si>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</si>
  <si>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</si>
  <si>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1 кв</t>
  </si>
  <si>
    <t>3 кв</t>
  </si>
  <si>
    <t>4 кв</t>
  </si>
  <si>
    <t>Выплаты всего</t>
  </si>
  <si>
    <t>Возврат основного долга</t>
  </si>
  <si>
    <t>-</t>
  </si>
  <si>
    <t>Амортизация</t>
  </si>
  <si>
    <t>на уплату процентов по займу в инвест.период</t>
  </si>
  <si>
    <t>%</t>
  </si>
  <si>
    <t>лет</t>
  </si>
  <si>
    <t>х</t>
  </si>
  <si>
    <t>4 кв.</t>
  </si>
  <si>
    <t>1 кв.</t>
  </si>
  <si>
    <t>3 кв.</t>
  </si>
  <si>
    <t xml:space="preserve">Проценты на привлеченные долговые обязательства </t>
  </si>
  <si>
    <t xml:space="preserve">Прибыль до налогообложения </t>
  </si>
  <si>
    <t xml:space="preserve">Чистая прибыль - NP </t>
  </si>
  <si>
    <t xml:space="preserve">Поток от операционной деятельности </t>
  </si>
  <si>
    <t>Привлечение заемных средств</t>
  </si>
  <si>
    <t>Поток от инвестиционной деятельности</t>
  </si>
  <si>
    <t xml:space="preserve">Собственный капитал </t>
  </si>
  <si>
    <t>Расходы по выплате процентов</t>
  </si>
  <si>
    <t xml:space="preserve">Расходы по погашению долговых обязательств </t>
  </si>
  <si>
    <t xml:space="preserve">Поток от финансовой деятельности </t>
  </si>
  <si>
    <t>Кэш-фло на начало периода</t>
  </si>
  <si>
    <t>Кэш-фло на конец периода</t>
  </si>
  <si>
    <t xml:space="preserve">Чистые денежные потоки от всех видов деятельности </t>
  </si>
  <si>
    <t>Данные  для текстовой части бизнес-плана</t>
  </si>
  <si>
    <t>ПРАВИЛА ЗАПОЛНЕНИЯ ТАБЛИЦ</t>
  </si>
  <si>
    <t>2. Комментарии к заполнению находятся в примечаниях к ячейкам</t>
  </si>
  <si>
    <t>Для того, чтобы увидеть примечание, надо встать на ячейку с красным треугольником в углу</t>
  </si>
  <si>
    <t>Год начала проекта</t>
  </si>
  <si>
    <t>(вписываете год)</t>
  </si>
  <si>
    <t>Шаг начала проекта</t>
  </si>
  <si>
    <t>УСЛОВИЯ И ДОПУЩЕНИЯ, ПРИНЯТЫЕ В РАСЧЕТАХ</t>
  </si>
  <si>
    <t>квартал</t>
  </si>
  <si>
    <t>Период расчетов</t>
  </si>
  <si>
    <t>5 лет</t>
  </si>
  <si>
    <t>Шаг расчетов</t>
  </si>
  <si>
    <t>Количество шагов</t>
  </si>
  <si>
    <t>Шаг начала эксплуатационной стадии</t>
  </si>
  <si>
    <t>(вписывает квартал, в котором планируется финансирование проекта)</t>
  </si>
  <si>
    <t>(вписывает квартал, в котором планируете начать производство и реализацию)</t>
  </si>
  <si>
    <t>ВРЕМЕННЫЕ ПРЕДПОСЫЛКИ</t>
  </si>
  <si>
    <t>На данном листе находятся таблицы, которые после заполнения вы вставите в описательную часть бизнес-плана.</t>
  </si>
  <si>
    <t>КАДРОВОЕ ОБЕСПЕЧЕНИЕ ПРОЕКТА</t>
  </si>
  <si>
    <t>Должность</t>
  </si>
  <si>
    <t>Оплата труда в месяц, руб.</t>
  </si>
  <si>
    <t>Число работников, ед.</t>
  </si>
  <si>
    <t>Итого</t>
  </si>
  <si>
    <t>1. Не заполняются только ячейки, выделенные зеленым цветом</t>
  </si>
  <si>
    <t>Заполните таблицу:</t>
  </si>
  <si>
    <t>УДЕЛЬНЫЙ РАСХОД СЫРЬЯ</t>
  </si>
  <si>
    <t>Вы можете менять значения в любых ячейках, которые не выделены цветом</t>
  </si>
  <si>
    <t>Наименование оборудования</t>
  </si>
  <si>
    <t>Цена, руб. за ед.</t>
  </si>
  <si>
    <t>ИТОГО:</t>
  </si>
  <si>
    <t>Доставка оборудования:</t>
  </si>
  <si>
    <t>Поправочный коэффициент по доставке (Кд):</t>
  </si>
  <si>
    <t>Сумма, тыс. руб.</t>
  </si>
  <si>
    <t>Доставка оборудования с учетом Кд:</t>
  </si>
  <si>
    <t>ПРОИЗВОДСТВЕННЫЕ ПОКАЗАТЕЛИ</t>
  </si>
  <si>
    <t>Продукция</t>
  </si>
  <si>
    <t>Выручка, тыс. руб.</t>
  </si>
  <si>
    <t>ТЕКУЩИЕ РАСХОДЫ</t>
  </si>
  <si>
    <t>Фонд оплаты труда, тыс. руб.</t>
  </si>
  <si>
    <t>ФОТ с отчислениями, тыс. руб.</t>
  </si>
  <si>
    <t>Значение показателя</t>
  </si>
  <si>
    <t>Расходы в год, тыс. руб.</t>
  </si>
  <si>
    <t>Система отопления (вид ресурса)</t>
  </si>
  <si>
    <t>Тепловая нагрузка, ед. на кв. м в год</t>
  </si>
  <si>
    <t>Коэф-фициент К1</t>
  </si>
  <si>
    <t>Площадь, кв. м</t>
  </si>
  <si>
    <t>Объем потреб-ления, ед. в год</t>
  </si>
  <si>
    <t>Тариф, руб. за ед.</t>
  </si>
  <si>
    <t>* К1 – поправочный коэффициент за климатическую зону</t>
  </si>
  <si>
    <t>Статья расходов</t>
  </si>
  <si>
    <t>Тариф, руб. за кв. м</t>
  </si>
  <si>
    <t>Аренда</t>
  </si>
  <si>
    <t>Актив</t>
  </si>
  <si>
    <t>Срок службы, лет</t>
  </si>
  <si>
    <t>Норма амортизации</t>
  </si>
  <si>
    <t>Балансовая стоимость, тыс. руб.</t>
  </si>
  <si>
    <t>Амортизация в год, тыс. руб.</t>
  </si>
  <si>
    <t>Здание</t>
  </si>
  <si>
    <t>Оборудование</t>
  </si>
  <si>
    <t>Транспорт</t>
  </si>
  <si>
    <t>Сумма расходов в год, тыс. руб.</t>
  </si>
  <si>
    <t>Расходы на услуги связи</t>
  </si>
  <si>
    <t>Расходы на маркетинг (контентная реклама, печатная продукция)</t>
  </si>
  <si>
    <t>Структура</t>
  </si>
  <si>
    <t>Расходы на ФОТ</t>
  </si>
  <si>
    <t>Расходы на электроэнергию</t>
  </si>
  <si>
    <t>Расходы на воду</t>
  </si>
  <si>
    <t>Расходы на отопление</t>
  </si>
  <si>
    <t>Расходы на аренду</t>
  </si>
  <si>
    <t>Прочие расходы</t>
  </si>
  <si>
    <t>НАЛОГИ</t>
  </si>
  <si>
    <t>5-1. Годовая сумма налоговых отчислений</t>
  </si>
  <si>
    <t>Вид</t>
  </si>
  <si>
    <t>Структура, в процентах к итогу</t>
  </si>
  <si>
    <t>Нематериальные активы</t>
  </si>
  <si>
    <t>Основные фонды</t>
  </si>
  <si>
    <t>Здания</t>
  </si>
  <si>
    <t>Оборотные активы (сырье)</t>
  </si>
  <si>
    <t>Некапитализируемые расходы</t>
  </si>
  <si>
    <t>Источник финансирования</t>
  </si>
  <si>
    <t>Заемное финансирование в Фонде РП РС(Я)</t>
  </si>
  <si>
    <t>Лизинг в Региональной лизинговой компании</t>
  </si>
  <si>
    <t>Банковское (или иное) кредитование</t>
  </si>
  <si>
    <t>Собственные средства</t>
  </si>
  <si>
    <t>ИСТОЧНИКИ ФИНАНСИРОВАНИЯ И ИНВЕСТИЦИИ В ПРОЕКТ</t>
  </si>
  <si>
    <t>Остаточная стоимость</t>
  </si>
  <si>
    <t>Срок, лет</t>
  </si>
  <si>
    <t>Процентная ставка, %</t>
  </si>
  <si>
    <t>Условия привлечения средств:</t>
  </si>
  <si>
    <t>Отсрочка по выплате долга, мес.</t>
  </si>
  <si>
    <t>Долговое финансирование</t>
  </si>
  <si>
    <t>Источники собственного капитала</t>
  </si>
  <si>
    <t>Иное: гранты и т.п. (указать)</t>
  </si>
  <si>
    <t>Приложение 1</t>
  </si>
  <si>
    <t xml:space="preserve">3. Просмотрите лист до конца, чтобы заполнить все таблицы </t>
  </si>
  <si>
    <t>НАЗВАНИЕ ПРОЕКТА:</t>
  </si>
  <si>
    <t>ПЛАН ПО ПРИБЫЛИ, тыс. руб.</t>
  </si>
  <si>
    <t xml:space="preserve">Выручка </t>
  </si>
  <si>
    <t>2 год</t>
  </si>
  <si>
    <t>3 год</t>
  </si>
  <si>
    <t>4 год</t>
  </si>
  <si>
    <t>5 год</t>
  </si>
  <si>
    <t>Плановые темпы роста объемов производства</t>
  </si>
  <si>
    <t>Переменные расходы</t>
  </si>
  <si>
    <t>Сезонность по кварталам календарного года</t>
  </si>
  <si>
    <t>Валовая прибыль</t>
  </si>
  <si>
    <t>Постоянные расходы</t>
  </si>
  <si>
    <t>Оплата процентов</t>
  </si>
  <si>
    <t>2 кв</t>
  </si>
  <si>
    <t>Количество дней в периоде</t>
  </si>
  <si>
    <t>Оплата процентов всего</t>
  </si>
  <si>
    <t>Возврат основного долга всего</t>
  </si>
  <si>
    <t>Операционная прибыль</t>
  </si>
  <si>
    <t>Индекс-дефлятор</t>
  </si>
  <si>
    <t>Индекс потребительских цен на товары и услуги</t>
  </si>
  <si>
    <t>Индекс-дефлятор: реальная заработная плата</t>
  </si>
  <si>
    <t>Индекс-дефлятор: газ, вода, электроэнергия</t>
  </si>
  <si>
    <t>Приложение 2</t>
  </si>
  <si>
    <t>ПЛАН ДВИЖЕНИЯ ДЕНЕГ, тыс. руб.</t>
  </si>
  <si>
    <t>ОПЕРАЦИОННАЯ ДЕЯТЕЛЬНОСТЬ</t>
  </si>
  <si>
    <t>Текущие расходы проекта</t>
  </si>
  <si>
    <t>Налоги</t>
  </si>
  <si>
    <t>в том числе: амортизация</t>
  </si>
  <si>
    <t>Инвестиции в проект</t>
  </si>
  <si>
    <t>на финансирование проекта</t>
  </si>
  <si>
    <t>ИНВЕСТИЦИАОННАЯ ДЕЯТЕЛЬНОСТЬ</t>
  </si>
  <si>
    <t>ФИНАНСОВАЯ ДЕЯТЕЛЬНОСТЬ</t>
  </si>
  <si>
    <t>ЭКОНОМИЧЕСКАЯ ОЦЕНКА</t>
  </si>
  <si>
    <t>(заполните условия привлечения средств)</t>
  </si>
  <si>
    <t>Частично заполните таблицы:</t>
  </si>
  <si>
    <t>Частично или полностью заполните таблицы:</t>
  </si>
  <si>
    <t>Частично заполните таблицу:</t>
  </si>
  <si>
    <t>Заполните цветные ячейки:</t>
  </si>
  <si>
    <t>1.</t>
  </si>
  <si>
    <t>2.</t>
  </si>
  <si>
    <t>3.</t>
  </si>
  <si>
    <t>Точка безубыточности (критический объем выручки)</t>
  </si>
  <si>
    <t>Запас финансовой прочности</t>
  </si>
  <si>
    <t>Запас финансовой прочности, в процентах</t>
  </si>
  <si>
    <t>Чистый денежный доход (NPV)</t>
  </si>
  <si>
    <t>Значение</t>
  </si>
  <si>
    <t>Валюта расчета</t>
  </si>
  <si>
    <t>(все таблицы заполняются в тыс. руб., если не указано иное)</t>
  </si>
  <si>
    <t>Критерий приемлемости</t>
  </si>
  <si>
    <t>&gt;0</t>
  </si>
  <si>
    <t>&gt;1</t>
  </si>
  <si>
    <t>&gt; ставки по кредиту</t>
  </si>
  <si>
    <t>мес</t>
  </si>
  <si>
    <t>&lt; срока проекта</t>
  </si>
  <si>
    <t>Дисконтированный денежный поток</t>
  </si>
  <si>
    <t>Накопленное сальдо</t>
  </si>
  <si>
    <t>Период окупаемости (от начала эксплуатации проекта)</t>
  </si>
  <si>
    <t>Не запоняйте таблицы (заполняются автоматически)</t>
  </si>
  <si>
    <t>Сценарий прогноза</t>
  </si>
  <si>
    <t>(в текущих ценах (ставите 1) или в прогнозных ценах (ставите 2)</t>
  </si>
  <si>
    <t>Индекс-дефлятор, принятый в расчетах</t>
  </si>
  <si>
    <t>4.</t>
  </si>
  <si>
    <t>5.</t>
  </si>
  <si>
    <t>6.</t>
  </si>
  <si>
    <t>7.</t>
  </si>
  <si>
    <t>8.</t>
  </si>
  <si>
    <t>Кэш-фло на конец периода не должно быть &lt;0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</si>
  <si>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</si>
  <si>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</si>
  <si>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</si>
  <si>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</si>
  <si>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</si>
  <si>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</si>
  <si>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</si>
  <si>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</si>
  <si>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</si>
  <si>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</si>
  <si>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</si>
  <si>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</si>
  <si>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</si>
  <si>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Первая цифра номера таблицы означает номер раздела в бизнес-плане</t>
  </si>
  <si>
    <t>Административно-управленческий и вспомогательный персонал</t>
  </si>
  <si>
    <t>Директор</t>
  </si>
  <si>
    <t>Бухгалтер</t>
  </si>
  <si>
    <t>Производственный персонал</t>
  </si>
  <si>
    <t xml:space="preserve">Водитель </t>
  </si>
  <si>
    <t>Вид корма</t>
  </si>
  <si>
    <t>Удельный расход, ед./голову</t>
  </si>
  <si>
    <t>3-2. Штатное расписание персонала проекта</t>
  </si>
  <si>
    <t>Наименование работ</t>
  </si>
  <si>
    <t>Сметная стоимость, тыс. руб.</t>
  </si>
  <si>
    <t>4-1. Сметная стоимость строительства</t>
  </si>
  <si>
    <t>Ферма</t>
  </si>
  <si>
    <t>Количество голов</t>
  </si>
  <si>
    <t>Расходы всего, тыс. руб.</t>
  </si>
  <si>
    <t xml:space="preserve">Корм </t>
  </si>
  <si>
    <t>Объемы производства</t>
  </si>
  <si>
    <t>Цена упаковки, руб. за ед.</t>
  </si>
  <si>
    <t>Расходы на упаковку всего, тыс. руб.</t>
  </si>
  <si>
    <t>тыс. шт.</t>
  </si>
  <si>
    <t>Оплата труда в месяц, тыс. руб.</t>
  </si>
  <si>
    <t>холодная вода, м3</t>
  </si>
  <si>
    <t>водоотведение, м3</t>
  </si>
  <si>
    <t>Удельные нормы расхода на голову в сутки</t>
  </si>
  <si>
    <t>Количество дней</t>
  </si>
  <si>
    <t xml:space="preserve">Поголовье </t>
  </si>
  <si>
    <t>Физический расход ресурса в год</t>
  </si>
  <si>
    <t>Тариф, руб. ед.</t>
  </si>
  <si>
    <t>Автономное: электрокотлы</t>
  </si>
  <si>
    <t>кВт</t>
  </si>
  <si>
    <t>4-12. Расчет расходов на тепловую энергию</t>
  </si>
  <si>
    <t>Расчет расходов на аренду</t>
  </si>
  <si>
    <t>ЕСХН</t>
  </si>
  <si>
    <t xml:space="preserve">УСН </t>
  </si>
  <si>
    <t>Налог по ЕСХН</t>
  </si>
  <si>
    <t>23.</t>
  </si>
  <si>
    <t>24.</t>
  </si>
  <si>
    <t>Расходы на ГСМ</t>
  </si>
  <si>
    <t>Норма расхода, л на 100 км</t>
  </si>
  <si>
    <t>Автопробег в сутки, км</t>
  </si>
  <si>
    <t>Тариф, руб. на л</t>
  </si>
  <si>
    <t>Общехозяйственные и прочие непредвиденные (1% от выручки)</t>
  </si>
  <si>
    <t>25.</t>
  </si>
  <si>
    <t>Бухгалтер (аутсорсинг)</t>
  </si>
  <si>
    <t>Рабочий птицефабрики и производственного цеха</t>
  </si>
  <si>
    <t>Строительство курятника</t>
  </si>
  <si>
    <t>Утепление и электрификация</t>
  </si>
  <si>
    <t>Строительство подсобного помещения</t>
  </si>
  <si>
    <t>ИНВЕСТИЦИИ В ПРОЕКТ</t>
  </si>
  <si>
    <t>Количество</t>
  </si>
  <si>
    <t>Цена, руб./ед.</t>
  </si>
  <si>
    <t>Цена, руб. за голову</t>
  </si>
  <si>
    <t>Курица</t>
  </si>
  <si>
    <t>Цыпленок-бройлера</t>
  </si>
  <si>
    <t xml:space="preserve">Расходы, тыс. руб. </t>
  </si>
  <si>
    <t>Оборудование для курятника:</t>
  </si>
  <si>
    <t>Вентилятор центробежный пылевой</t>
  </si>
  <si>
    <t>Кормовая система</t>
  </si>
  <si>
    <t>Поильная система</t>
  </si>
  <si>
    <t>Брудер</t>
  </si>
  <si>
    <t>Малый хозяйственный инвентарь</t>
  </si>
  <si>
    <t>Оборудование для производственного цеха:</t>
  </si>
  <si>
    <t>Модульная бойня</t>
  </si>
  <si>
    <t>Холодильное оборудование:</t>
  </si>
  <si>
    <t>Транспорт:</t>
  </si>
  <si>
    <t>Авторефрежиратр-фургон</t>
  </si>
  <si>
    <t>Выход яйца с одной птицы, шт в год</t>
  </si>
  <si>
    <t>Выход мяса, кг с одной головы</t>
  </si>
  <si>
    <t xml:space="preserve">Выход мяса, кг </t>
  </si>
  <si>
    <t>Яйцо куриное</t>
  </si>
  <si>
    <t>Мясо курицы</t>
  </si>
  <si>
    <t>Количество циклов в году, раз</t>
  </si>
  <si>
    <t>Объем производства, ед в год</t>
  </si>
  <si>
    <t>Удельный расход, руб. в сутки</t>
  </si>
  <si>
    <t>Производственный цех</t>
  </si>
  <si>
    <t>Закуп кур несушек</t>
  </si>
  <si>
    <t>Закуп цыплят-бройлеров</t>
  </si>
  <si>
    <t>Цена, руб. на голову</t>
  </si>
  <si>
    <t>Мясо куриное</t>
  </si>
  <si>
    <t>кг</t>
  </si>
  <si>
    <t>4-11. Расчет расходов на воду и водоотведение</t>
  </si>
  <si>
    <t>Производство</t>
  </si>
  <si>
    <t>Удельные номы расхода на обмыв туш, на голову</t>
  </si>
  <si>
    <t>Количество голов к реализации, туш</t>
  </si>
  <si>
    <t>Расходы фермы всего, тыс. руб.</t>
  </si>
  <si>
    <t>Расходы цеха всего, тыс. руб.</t>
  </si>
  <si>
    <t>Силовая энергия</t>
  </si>
  <si>
    <t>Энергопотребление мобильной бойни, кВт в час</t>
  </si>
  <si>
    <t>Расход в год, кВт</t>
  </si>
  <si>
    <t>Осветительная энергия</t>
  </si>
  <si>
    <t>Норма, Вт на кв. м в час</t>
  </si>
  <si>
    <t>Тариф, руб. за кВт</t>
  </si>
  <si>
    <t>Оборотные активы (птицы)</t>
  </si>
  <si>
    <t>Мясо цыпленка-бройлера</t>
  </si>
  <si>
    <t>Расходы на упаковку</t>
  </si>
  <si>
    <t>Расходы на закуп цыплят</t>
  </si>
  <si>
    <t>Расходы на закуп кур-несушек</t>
  </si>
  <si>
    <t xml:space="preserve">Управляющий </t>
  </si>
  <si>
    <t>Прибыль</t>
  </si>
  <si>
    <t>Рентабельность</t>
  </si>
  <si>
    <t>Расход всего, руб. в сутки</t>
  </si>
  <si>
    <t>Расходы на корм</t>
  </si>
  <si>
    <t xml:space="preserve">4-2. Удельный расход сырья </t>
  </si>
  <si>
    <t>Корм всего</t>
  </si>
  <si>
    <t>Корм для кур-несушек</t>
  </si>
  <si>
    <t>Корм для цыплят-бройлеров</t>
  </si>
  <si>
    <t>4-3. Расчет расходов на приобретение птиц</t>
  </si>
  <si>
    <t xml:space="preserve">4-4. Перечень приобретаемого технологического оборудования </t>
  </si>
  <si>
    <t>Эффективный фонд рабочего времени</t>
  </si>
  <si>
    <t>Технологические показатели по курам</t>
  </si>
  <si>
    <t>Технологические показатели по цыплятам-бройлерам</t>
  </si>
  <si>
    <t>4-6. Расчет материальных расходов на содержание птиц</t>
  </si>
  <si>
    <t xml:space="preserve">4-9. Расчет расходов на фонд оплаты труда </t>
  </si>
  <si>
    <t>4-8. Расчет расходов на упаковку продукции</t>
  </si>
  <si>
    <t>4-10. Расчет расходов на энергопотребление</t>
  </si>
  <si>
    <t>4-13. Расчет расходов на ГСМ</t>
  </si>
  <si>
    <t>4-14. Расчет амортизационных отчислений</t>
  </si>
  <si>
    <t>Расход ГСМ в год (усреднено), км</t>
  </si>
  <si>
    <t xml:space="preserve">Расходы всего, тыс. руб. </t>
  </si>
  <si>
    <t>4-15. Расчет прочих расходов</t>
  </si>
  <si>
    <t>в процентах к итогу</t>
  </si>
  <si>
    <t>Транспорт (рефрижераторная машина)</t>
  </si>
  <si>
    <t>5-1. Источники финансирования проекта</t>
  </si>
  <si>
    <t>5-2. Инвестиции в проект</t>
  </si>
  <si>
    <t>5-3. График гашения и обслуживания долговых обязательств</t>
  </si>
  <si>
    <t>5-5. Расчет показателей эффективности проекта</t>
  </si>
  <si>
    <t>5-4. Расчет точки безубыточности</t>
  </si>
  <si>
    <t>Камера холодильная</t>
  </si>
  <si>
    <t>19.</t>
  </si>
  <si>
    <t>26.</t>
  </si>
  <si>
    <t xml:space="preserve">4-5. Производственно-сбытовой план </t>
  </si>
  <si>
    <t>4-16. Структура себестоимости</t>
  </si>
  <si>
    <t>Всего 26 таблиц, находящиеся на данном листе</t>
  </si>
  <si>
    <t>Бизнес-план организации деятельности по разведению кур в п. ХХХ ХХХ района Республики Саха (Якутия)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</si>
</sst>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0"/>
    <numFmt numFmtId="176" formatCode="#,##0.00_ ;[Red]\-#,##0.00\ "/>
    <numFmt numFmtId="177" formatCode="#,##0.0"/>
    <numFmt numFmtId="178" formatCode="#,##0.000"/>
    <numFmt numFmtId="179" formatCode="#,##0.000_ ;[Red]\-#,##0.000\ "/>
    <numFmt numFmtId="180" formatCode="0.000"/>
    <numFmt numFmtId="181" formatCode="_-* #,##0.0_р_._-;\-* #,##0.0_р_._-;_-* &quot;-&quot;??_р_._-;_-@_-"/>
    <numFmt numFmtId="182" formatCode="_-* #,##0_р_._-;\-* #,##0_р_._-;_-* &quot;-&quot;??_р_._-;_-@_-"/>
    <numFmt numFmtId="183" formatCode="#,##0.00000"/>
    <numFmt numFmtId="184" formatCode="_-* #,##0.000_р_._-;\-* #,##0.000_р_._-;_-* &quot;-&quot;??_р_._-;_-@_-"/>
    <numFmt numFmtId="185" formatCode="_-* #,##0.000\ _р_._-;\-* #,##0.000\ _р_._-;_-* &quot;-&quot;???\ _р_._-;_-@_-"/>
    <numFmt numFmtId="186" formatCode="#\ ##0.0_ ;[Red]\-#\ 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?_р_._-;_-@_-"/>
    <numFmt numFmtId="192" formatCode="_-* #,##0.0_р_._-;\-* #,##0.0_р_._-;_-* &quot;-&quot;?_р_._-;_-@_-"/>
    <numFmt numFmtId="193" formatCode="0.0%"/>
    <numFmt numFmtId="194" formatCode="0.0000%"/>
    <numFmt numFmtId="195" formatCode="_-* #,##0.0\ _₽_-;\-* #,##0.0\ _₽_-;_-* &quot;-&quot;?\ _₽_-;_-@_-"/>
    <numFmt numFmtId="196" formatCode="#,##0.0000_ ;[Red]\-#,##0.0000\ "/>
    <numFmt numFmtId="197" formatCode="#,##0.00000_ ;[Red]\-#,##0.00000\ "/>
    <numFmt numFmtId="198" formatCode="0.00000000"/>
    <numFmt numFmtId="199" formatCode="0.0000000"/>
    <numFmt numFmtId="200" formatCode="0.000000"/>
    <numFmt numFmtId="201" formatCode="0.00000"/>
    <numFmt numFmtId="202" formatCode="0.000000000"/>
    <numFmt numFmtId="203" formatCode="_-* #,##0.000\ _₽_-;\-* #,##0.000\ _₽_-;_-* &quot;-&quot;???\ _₽_-;_-@_-"/>
    <numFmt numFmtId="204" formatCode="#,##0.0000"/>
    <numFmt numFmtId="205" formatCode="#,##0;[Red]\(#,##0\);\-"/>
  </numFmts>
  <fonts count="107">
    <font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5" tint="-0.499969989061355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MS Sans Serif"/>
      <family val="2"/>
    </font>
    <font>
      <sz val="11"/>
      <color theme="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F932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205" fontId="66" fillId="19" borderId="0" applyNumberFormat="0" applyBorder="0" applyAlignment="0">
      <protection locked="0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56" applyNumberFormat="1" applyFont="1" applyBorder="1" applyAlignment="1">
      <alignment vertical="top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1" fillId="0" borderId="10" xfId="56" applyNumberFormat="1" applyFont="1" applyBorder="1" applyAlignment="1">
      <alignment vertical="top" wrapText="1"/>
      <protection/>
    </xf>
    <xf numFmtId="171" fontId="0" fillId="0" borderId="0" xfId="65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3" fontId="1" fillId="0" borderId="10" xfId="56" applyNumberFormat="1" applyFont="1" applyFill="1" applyBorder="1" applyAlignment="1">
      <alignment vertical="top" wrapText="1"/>
      <protection/>
    </xf>
    <xf numFmtId="3" fontId="1" fillId="0" borderId="0" xfId="56" applyNumberFormat="1" applyFont="1">
      <alignment/>
      <protection/>
    </xf>
    <xf numFmtId="3" fontId="1" fillId="0" borderId="0" xfId="56" applyNumberFormat="1" applyFont="1" applyAlignment="1">
      <alignment vertical="top" wrapText="1"/>
      <protection/>
    </xf>
    <xf numFmtId="172" fontId="1" fillId="0" borderId="0" xfId="0" applyNumberFormat="1" applyFont="1" applyAlignment="1">
      <alignment/>
    </xf>
    <xf numFmtId="3" fontId="9" fillId="0" borderId="10" xfId="56" applyNumberFormat="1" applyFont="1" applyFill="1" applyBorder="1" applyAlignment="1">
      <alignment vertical="top" wrapText="1"/>
      <protection/>
    </xf>
    <xf numFmtId="3" fontId="12" fillId="0" borderId="0" xfId="56" applyNumberFormat="1" applyFont="1" applyAlignment="1">
      <alignment vertical="top" wrapText="1"/>
      <protection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Fill="1" applyBorder="1" applyAlignment="1">
      <alignment vertical="top" wrapText="1"/>
    </xf>
    <xf numFmtId="3" fontId="7" fillId="0" borderId="0" xfId="56" applyNumberFormat="1" applyFont="1">
      <alignment/>
      <protection/>
    </xf>
    <xf numFmtId="3" fontId="7" fillId="0" borderId="0" xfId="56" applyNumberFormat="1" applyFont="1" applyAlignment="1">
      <alignment wrapText="1"/>
      <protection/>
    </xf>
    <xf numFmtId="3" fontId="1" fillId="0" borderId="10" xfId="56" applyNumberFormat="1" applyFont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vertical="top"/>
    </xf>
    <xf numFmtId="3" fontId="5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5" fillId="0" borderId="0" xfId="56" applyNumberFormat="1" applyFont="1" applyFill="1" applyAlignment="1">
      <alignment vertical="top" wrapText="1"/>
      <protection/>
    </xf>
    <xf numFmtId="3" fontId="1" fillId="0" borderId="0" xfId="56" applyNumberFormat="1" applyFont="1" applyAlignment="1">
      <alignment wrapText="1"/>
      <protection/>
    </xf>
    <xf numFmtId="3" fontId="15" fillId="0" borderId="0" xfId="56" applyNumberFormat="1" applyFont="1" applyFill="1" applyAlignment="1">
      <alignment vertical="top" wrapText="1"/>
      <protection/>
    </xf>
    <xf numFmtId="3" fontId="82" fillId="0" borderId="0" xfId="56" applyNumberFormat="1" applyFont="1">
      <alignment/>
      <protection/>
    </xf>
    <xf numFmtId="3" fontId="83" fillId="0" borderId="0" xfId="56" applyNumberFormat="1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4" fillId="33" borderId="0" xfId="0" applyNumberFormat="1" applyFont="1" applyFill="1" applyBorder="1" applyAlignment="1" applyProtection="1">
      <alignment vertical="top"/>
      <protection/>
    </xf>
    <xf numFmtId="0" fontId="84" fillId="34" borderId="0" xfId="0" applyNumberFormat="1" applyFont="1" applyFill="1" applyBorder="1" applyAlignment="1" applyProtection="1">
      <alignment vertical="top"/>
      <protection/>
    </xf>
    <xf numFmtId="0" fontId="11" fillId="35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1" fillId="36" borderId="0" xfId="0" applyNumberFormat="1" applyFont="1" applyFill="1" applyBorder="1" applyAlignment="1" applyProtection="1">
      <alignment vertical="top"/>
      <protection/>
    </xf>
    <xf numFmtId="0" fontId="18" fillId="36" borderId="0" xfId="0" applyNumberFormat="1" applyFont="1" applyFill="1" applyBorder="1" applyAlignment="1" applyProtection="1">
      <alignment vertical="top"/>
      <protection/>
    </xf>
    <xf numFmtId="0" fontId="16" fillId="36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1" fillId="34" borderId="0" xfId="0" applyNumberFormat="1" applyFont="1" applyFill="1" applyBorder="1" applyAlignment="1" applyProtection="1">
      <alignment vertical="top"/>
      <protection/>
    </xf>
    <xf numFmtId="0" fontId="85" fillId="36" borderId="0" xfId="0" applyNumberFormat="1" applyFont="1" applyFill="1" applyBorder="1" applyAlignment="1" applyProtection="1">
      <alignment vertical="top"/>
      <protection/>
    </xf>
    <xf numFmtId="0" fontId="86" fillId="36" borderId="0" xfId="0" applyNumberFormat="1" applyFont="1" applyFill="1" applyBorder="1" applyAlignment="1" applyProtection="1">
      <alignment vertical="top"/>
      <protection/>
    </xf>
    <xf numFmtId="0" fontId="19" fillId="36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3" fontId="87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" fillId="35" borderId="11" xfId="0" applyNumberFormat="1" applyFont="1" applyFill="1" applyBorder="1" applyAlignment="1" applyProtection="1">
      <alignment horizontal="right" vertical="center"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1" xfId="0" applyNumberFormat="1" applyFont="1" applyFill="1" applyBorder="1" applyAlignment="1" applyProtection="1">
      <alignment horizontal="center" vertical="center" textRotation="90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88" fillId="0" borderId="10" xfId="0" applyNumberFormat="1" applyFont="1" applyFill="1" applyBorder="1" applyAlignment="1" applyProtection="1">
      <alignment horizontal="justify" vertical="center" wrapText="1"/>
      <protection/>
    </xf>
    <xf numFmtId="0" fontId="88" fillId="0" borderId="0" xfId="0" applyNumberFormat="1" applyFont="1" applyFill="1" applyBorder="1" applyAlignment="1" applyProtection="1">
      <alignment horizontal="right" vertical="center" wrapText="1"/>
      <protection/>
    </xf>
    <xf numFmtId="43" fontId="11" fillId="0" borderId="0" xfId="0" applyNumberFormat="1" applyFont="1" applyFill="1" applyBorder="1" applyAlignment="1" applyProtection="1">
      <alignment vertical="top"/>
      <protection/>
    </xf>
    <xf numFmtId="172" fontId="88" fillId="0" borderId="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NumberFormat="1" applyFont="1" applyFill="1" applyBorder="1" applyAlignment="1" applyProtection="1">
      <alignment horizontal="left" vertical="center" wrapText="1"/>
      <protection/>
    </xf>
    <xf numFmtId="3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88" fillId="0" borderId="10" xfId="0" applyNumberFormat="1" applyFont="1" applyFill="1" applyBorder="1" applyAlignment="1" applyProtection="1">
      <alignment vertical="top"/>
      <protection/>
    </xf>
    <xf numFmtId="0" fontId="90" fillId="0" borderId="10" xfId="0" applyNumberFormat="1" applyFont="1" applyFill="1" applyBorder="1" applyAlignment="1" applyProtection="1">
      <alignment vertical="center" wrapText="1"/>
      <protection/>
    </xf>
    <xf numFmtId="3" fontId="90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1" fontId="5" fillId="0" borderId="0" xfId="56" applyNumberFormat="1" applyFont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1" fillId="33" borderId="0" xfId="0" applyNumberFormat="1" applyFont="1" applyFill="1" applyBorder="1" applyAlignment="1" applyProtection="1">
      <alignment vertical="top"/>
      <protection/>
    </xf>
    <xf numFmtId="0" fontId="84" fillId="34" borderId="13" xfId="0" applyNumberFormat="1" applyFont="1" applyFill="1" applyBorder="1" applyAlignment="1" applyProtection="1">
      <alignment vertical="top"/>
      <protection/>
    </xf>
    <xf numFmtId="0" fontId="84" fillId="34" borderId="14" xfId="0" applyNumberFormat="1" applyFont="1" applyFill="1" applyBorder="1" applyAlignment="1" applyProtection="1">
      <alignment vertical="top"/>
      <protection/>
    </xf>
    <xf numFmtId="0" fontId="11" fillId="34" borderId="15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16" fillId="0" borderId="16" xfId="0" applyNumberFormat="1" applyFont="1" applyFill="1" applyBorder="1" applyAlignment="1" applyProtection="1">
      <alignment vertical="top"/>
      <protection/>
    </xf>
    <xf numFmtId="0" fontId="16" fillId="0" borderId="17" xfId="0" applyNumberFormat="1" applyFont="1" applyFill="1" applyBorder="1" applyAlignment="1" applyProtection="1">
      <alignment vertical="top"/>
      <protection/>
    </xf>
    <xf numFmtId="0" fontId="16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11" fillId="0" borderId="20" xfId="0" applyNumberFormat="1" applyFont="1" applyFill="1" applyBorder="1" applyAlignment="1" applyProtection="1">
      <alignment vertical="top"/>
      <protection/>
    </xf>
    <xf numFmtId="0" fontId="92" fillId="0" borderId="0" xfId="0" applyNumberFormat="1" applyFont="1" applyFill="1" applyBorder="1" applyAlignment="1" applyProtection="1">
      <alignment vertical="top"/>
      <protection/>
    </xf>
    <xf numFmtId="0" fontId="93" fillId="37" borderId="0" xfId="0" applyNumberFormat="1" applyFont="1" applyFill="1" applyBorder="1" applyAlignment="1" applyProtection="1">
      <alignment vertical="top"/>
      <protection/>
    </xf>
    <xf numFmtId="0" fontId="22" fillId="37" borderId="0" xfId="0" applyNumberFormat="1" applyFont="1" applyFill="1" applyBorder="1" applyAlignment="1" applyProtection="1">
      <alignment vertical="top"/>
      <protection/>
    </xf>
    <xf numFmtId="0" fontId="85" fillId="38" borderId="0" xfId="0" applyNumberFormat="1" applyFont="1" applyFill="1" applyBorder="1" applyAlignment="1" applyProtection="1">
      <alignment vertical="top"/>
      <protection/>
    </xf>
    <xf numFmtId="0" fontId="94" fillId="38" borderId="0" xfId="0" applyFont="1" applyFill="1" applyAlignment="1">
      <alignment/>
    </xf>
    <xf numFmtId="0" fontId="94" fillId="38" borderId="0" xfId="0" applyFont="1" applyFill="1" applyAlignment="1">
      <alignment horizontal="right"/>
    </xf>
    <xf numFmtId="0" fontId="95" fillId="38" borderId="0" xfId="0" applyFont="1" applyFill="1" applyAlignment="1">
      <alignment/>
    </xf>
    <xf numFmtId="0" fontId="84" fillId="0" borderId="13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Border="1" applyAlignment="1">
      <alignment horizontal="center" vertical="top"/>
    </xf>
    <xf numFmtId="0" fontId="87" fillId="0" borderId="10" xfId="0" applyFont="1" applyBorder="1" applyAlignment="1">
      <alignment horizontal="center" vertical="top"/>
    </xf>
    <xf numFmtId="9" fontId="87" fillId="0" borderId="10" xfId="0" applyNumberFormat="1" applyFont="1" applyBorder="1" applyAlignment="1">
      <alignment horizontal="center" vertical="top"/>
    </xf>
    <xf numFmtId="0" fontId="96" fillId="0" borderId="0" xfId="0" applyFont="1" applyAlignment="1">
      <alignment vertical="top"/>
    </xf>
    <xf numFmtId="0" fontId="1" fillId="0" borderId="21" xfId="0" applyFont="1" applyBorder="1" applyAlignment="1">
      <alignment horizontal="center" vertical="top"/>
    </xf>
    <xf numFmtId="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right" vertical="top" wrapText="1"/>
    </xf>
    <xf numFmtId="0" fontId="88" fillId="0" borderId="2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vertical="top"/>
    </xf>
    <xf numFmtId="0" fontId="97" fillId="34" borderId="10" xfId="0" applyFont="1" applyFill="1" applyBorder="1" applyAlignment="1">
      <alignment vertical="top" wrapText="1"/>
    </xf>
    <xf numFmtId="173" fontId="97" fillId="34" borderId="10" xfId="0" applyNumberFormat="1" applyFont="1" applyFill="1" applyBorder="1" applyAlignment="1">
      <alignment vertical="top" wrapText="1"/>
    </xf>
    <xf numFmtId="0" fontId="23" fillId="39" borderId="0" xfId="0" applyFont="1" applyFill="1" applyAlignment="1">
      <alignment vertical="top" wrapText="1"/>
    </xf>
    <xf numFmtId="3" fontId="95" fillId="34" borderId="10" xfId="56" applyNumberFormat="1" applyFont="1" applyFill="1" applyBorder="1" applyAlignment="1">
      <alignment vertical="top"/>
      <protection/>
    </xf>
    <xf numFmtId="3" fontId="8" fillId="0" borderId="23" xfId="56" applyNumberFormat="1" applyFont="1" applyFill="1" applyBorder="1" applyAlignment="1">
      <alignment vertical="top" wrapText="1"/>
      <protection/>
    </xf>
    <xf numFmtId="0" fontId="9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1" fillId="36" borderId="0" xfId="0" applyNumberFormat="1" applyFont="1" applyFill="1" applyBorder="1" applyAlignment="1" applyProtection="1">
      <alignment horizontal="center" vertical="top"/>
      <protection/>
    </xf>
    <xf numFmtId="0" fontId="18" fillId="36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1" fillId="34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84" fillId="34" borderId="0" xfId="0" applyNumberFormat="1" applyFont="1" applyFill="1" applyBorder="1" applyAlignment="1" applyProtection="1">
      <alignment horizontal="center" vertical="top"/>
      <protection/>
    </xf>
    <xf numFmtId="0" fontId="84" fillId="33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0" fontId="99" fillId="0" borderId="0" xfId="0" applyNumberFormat="1" applyFont="1" applyFill="1" applyBorder="1" applyAlignment="1" applyProtection="1">
      <alignment horizontal="center" vertical="top"/>
      <protection/>
    </xf>
    <xf numFmtId="0" fontId="99" fillId="0" borderId="0" xfId="0" applyNumberFormat="1" applyFont="1" applyFill="1" applyBorder="1" applyAlignment="1" applyProtection="1">
      <alignment vertical="top"/>
      <protection/>
    </xf>
    <xf numFmtId="2" fontId="99" fillId="0" borderId="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4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2" fontId="11" fillId="40" borderId="10" xfId="0" applyNumberFormat="1" applyFont="1" applyFill="1" applyBorder="1" applyAlignment="1" applyProtection="1">
      <alignment horizontal="center" vertical="top"/>
      <protection/>
    </xf>
    <xf numFmtId="1" fontId="5" fillId="0" borderId="0" xfId="56" applyNumberFormat="1" applyFont="1" applyAlignment="1">
      <alignment horizontal="center"/>
      <protection/>
    </xf>
    <xf numFmtId="3" fontId="100" fillId="0" borderId="0" xfId="56" applyNumberFormat="1" applyFont="1" applyAlignment="1">
      <alignment wrapText="1"/>
      <protection/>
    </xf>
    <xf numFmtId="3" fontId="101" fillId="0" borderId="10" xfId="56" applyNumberFormat="1" applyFont="1" applyBorder="1" applyAlignment="1">
      <alignment wrapText="1"/>
      <protection/>
    </xf>
    <xf numFmtId="3" fontId="102" fillId="0" borderId="0" xfId="56" applyNumberFormat="1" applyFont="1" applyAlignment="1">
      <alignment horizontal="center"/>
      <protection/>
    </xf>
    <xf numFmtId="0" fontId="87" fillId="0" borderId="0" xfId="0" applyFont="1" applyFill="1" applyAlignment="1">
      <alignment vertical="top"/>
    </xf>
    <xf numFmtId="0" fontId="96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3" fillId="0" borderId="0" xfId="0" applyNumberFormat="1" applyFont="1" applyFill="1" applyBorder="1" applyAlignment="1" applyProtection="1">
      <alignment vertical="top"/>
      <protection/>
    </xf>
    <xf numFmtId="0" fontId="87" fillId="0" borderId="0" xfId="0" applyFont="1" applyFill="1" applyAlignment="1">
      <alignment/>
    </xf>
    <xf numFmtId="3" fontId="87" fillId="0" borderId="0" xfId="0" applyNumberFormat="1" applyFont="1" applyFill="1" applyAlignment="1">
      <alignment vertical="top" wrapText="1"/>
    </xf>
    <xf numFmtId="3" fontId="87" fillId="0" borderId="0" xfId="0" applyNumberFormat="1" applyFont="1" applyFill="1" applyAlignment="1">
      <alignment vertical="top"/>
    </xf>
    <xf numFmtId="0" fontId="87" fillId="0" borderId="0" xfId="0" applyFont="1" applyFill="1" applyAlignment="1">
      <alignment vertical="top" wrapText="1"/>
    </xf>
    <xf numFmtId="0" fontId="104" fillId="0" borderId="0" xfId="0" applyFont="1" applyFill="1" applyAlignment="1">
      <alignment vertical="top" wrapText="1"/>
    </xf>
    <xf numFmtId="3" fontId="104" fillId="0" borderId="0" xfId="0" applyNumberFormat="1" applyFont="1" applyFill="1" applyAlignment="1">
      <alignment vertical="top" wrapText="1"/>
    </xf>
    <xf numFmtId="3" fontId="104" fillId="0" borderId="0" xfId="0" applyNumberFormat="1" applyFont="1" applyFill="1" applyAlignment="1">
      <alignment vertical="top"/>
    </xf>
    <xf numFmtId="0" fontId="1" fillId="35" borderId="10" xfId="0" applyNumberFormat="1" applyFont="1" applyFill="1" applyBorder="1" applyAlignment="1" applyProtection="1">
      <alignment vertical="center" wrapText="1"/>
      <protection/>
    </xf>
    <xf numFmtId="0" fontId="1" fillId="35" borderId="10" xfId="0" applyNumberFormat="1" applyFont="1" applyFill="1" applyBorder="1" applyAlignment="1" applyProtection="1">
      <alignment horizontal="right" vertical="center" wrapText="1"/>
      <protection/>
    </xf>
    <xf numFmtId="0" fontId="21" fillId="35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89" fillId="0" borderId="22" xfId="0" applyNumberFormat="1" applyFont="1" applyFill="1" applyBorder="1" applyAlignment="1" applyProtection="1">
      <alignment vertical="top" wrapText="1"/>
      <protection/>
    </xf>
    <xf numFmtId="0" fontId="1" fillId="35" borderId="10" xfId="0" applyNumberFormat="1" applyFont="1" applyFill="1" applyBorder="1" applyAlignment="1" applyProtection="1">
      <alignment vertical="top" wrapText="1"/>
      <protection/>
    </xf>
    <xf numFmtId="0" fontId="1" fillId="35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 wrapText="1"/>
      <protection/>
    </xf>
    <xf numFmtId="0" fontId="8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35" borderId="10" xfId="0" applyNumberFormat="1" applyFont="1" applyFill="1" applyBorder="1" applyAlignment="1" applyProtection="1">
      <alignment horizontal="right" vertical="center" wrapText="1"/>
      <protection/>
    </xf>
    <xf numFmtId="0" fontId="89" fillId="35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35" borderId="11" xfId="0" applyNumberFormat="1" applyFont="1" applyFill="1" applyBorder="1" applyAlignment="1" applyProtection="1">
      <alignment horizontal="right" vertical="top" wrapText="1"/>
      <protection/>
    </xf>
    <xf numFmtId="3" fontId="1" fillId="0" borderId="11" xfId="0" applyNumberFormat="1" applyFont="1" applyFill="1" applyBorder="1" applyAlignment="1" applyProtection="1">
      <alignment horizontal="right" vertical="top" wrapText="1"/>
      <protection/>
    </xf>
    <xf numFmtId="3" fontId="1" fillId="35" borderId="11" xfId="0" applyNumberFormat="1" applyFont="1" applyFill="1" applyBorder="1" applyAlignment="1" applyProtection="1">
      <alignment horizontal="right" vertical="top" wrapText="1"/>
      <protection/>
    </xf>
    <xf numFmtId="177" fontId="87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35" borderId="11" xfId="0" applyNumberFormat="1" applyFont="1" applyFill="1" applyBorder="1" applyAlignment="1" applyProtection="1">
      <alignment horizontal="right" vertical="center" wrapText="1"/>
      <protection/>
    </xf>
    <xf numFmtId="3" fontId="1" fillId="35" borderId="24" xfId="0" applyNumberFormat="1" applyFont="1" applyFill="1" applyBorder="1" applyAlignment="1" applyProtection="1">
      <alignment vertical="center" wrapText="1"/>
      <protection/>
    </xf>
    <xf numFmtId="0" fontId="1" fillId="35" borderId="24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24" xfId="0" applyNumberFormat="1" applyFont="1" applyFill="1" applyBorder="1" applyAlignment="1" applyProtection="1">
      <alignment horizontal="center" vertical="top" wrapText="1"/>
      <protection/>
    </xf>
    <xf numFmtId="3" fontId="21" fillId="35" borderId="11" xfId="0" applyNumberFormat="1" applyFont="1" applyFill="1" applyBorder="1" applyAlignment="1" applyProtection="1">
      <alignment horizontal="right" vertical="center" wrapText="1"/>
      <protection/>
    </xf>
    <xf numFmtId="3" fontId="21" fillId="35" borderId="12" xfId="0" applyNumberFormat="1" applyFont="1" applyFill="1" applyBorder="1" applyAlignment="1" applyProtection="1">
      <alignment horizontal="right" vertical="center" wrapText="1"/>
      <protection/>
    </xf>
    <xf numFmtId="3" fontId="21" fillId="35" borderId="10" xfId="0" applyNumberFormat="1" applyFont="1" applyFill="1" applyBorder="1" applyAlignment="1" applyProtection="1">
      <alignment horizontal="right" vertical="center" wrapText="1"/>
      <protection/>
    </xf>
    <xf numFmtId="177" fontId="1" fillId="35" borderId="10" xfId="0" applyNumberFormat="1" applyFont="1" applyFill="1" applyBorder="1" applyAlignment="1" applyProtection="1">
      <alignment horizontal="right" vertical="center" wrapText="1"/>
      <protection/>
    </xf>
    <xf numFmtId="172" fontId="1" fillId="35" borderId="10" xfId="0" applyNumberFormat="1" applyFont="1" applyFill="1" applyBorder="1" applyAlignment="1" applyProtection="1">
      <alignment horizontal="right" vertical="center" wrapText="1"/>
      <protection/>
    </xf>
    <xf numFmtId="3" fontId="1" fillId="35" borderId="10" xfId="0" applyNumberFormat="1" applyFont="1" applyFill="1" applyBorder="1" applyAlignment="1" applyProtection="1">
      <alignment vertical="top" wrapText="1"/>
      <protection/>
    </xf>
    <xf numFmtId="0" fontId="89" fillId="35" borderId="10" xfId="0" applyNumberFormat="1" applyFont="1" applyFill="1" applyBorder="1" applyAlignment="1" applyProtection="1">
      <alignment horizontal="right" vertical="top" wrapText="1"/>
      <protection/>
    </xf>
    <xf numFmtId="3" fontId="1" fillId="35" borderId="10" xfId="0" applyNumberFormat="1" applyFont="1" applyFill="1" applyBorder="1" applyAlignment="1" applyProtection="1">
      <alignment vertical="center" wrapText="1"/>
      <protection/>
    </xf>
    <xf numFmtId="0" fontId="1" fillId="35" borderId="25" xfId="0" applyNumberFormat="1" applyFont="1" applyFill="1" applyBorder="1" applyAlignment="1" applyProtection="1">
      <alignment vertical="top" wrapText="1"/>
      <protection/>
    </xf>
    <xf numFmtId="3" fontId="1" fillId="35" borderId="25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35" borderId="10" xfId="0" applyNumberFormat="1" applyFont="1" applyFill="1" applyBorder="1" applyAlignment="1" applyProtection="1">
      <alignment horizontal="right" vertical="center"/>
      <protection/>
    </xf>
    <xf numFmtId="3" fontId="1" fillId="35" borderId="10" xfId="0" applyNumberFormat="1" applyFont="1" applyFill="1" applyBorder="1" applyAlignment="1" applyProtection="1">
      <alignment horizontal="right" vertical="center"/>
      <protection/>
    </xf>
    <xf numFmtId="1" fontId="1" fillId="35" borderId="10" xfId="0" applyNumberFormat="1" applyFont="1" applyFill="1" applyBorder="1" applyAlignment="1" applyProtection="1">
      <alignment horizontal="right" vertical="center"/>
      <protection/>
    </xf>
    <xf numFmtId="182" fontId="88" fillId="35" borderId="10" xfId="65" applyNumberFormat="1" applyFont="1" applyFill="1" applyBorder="1" applyAlignment="1" applyProtection="1">
      <alignment horizontal="right" vertical="center" wrapText="1"/>
      <protection/>
    </xf>
    <xf numFmtId="171" fontId="88" fillId="35" borderId="10" xfId="0" applyNumberFormat="1" applyFont="1" applyFill="1" applyBorder="1" applyAlignment="1" applyProtection="1">
      <alignment horizontal="right" vertical="center" wrapText="1"/>
      <protection/>
    </xf>
    <xf numFmtId="0" fontId="88" fillId="35" borderId="10" xfId="0" applyNumberFormat="1" applyFont="1" applyFill="1" applyBorder="1" applyAlignment="1" applyProtection="1">
      <alignment horizontal="right" vertical="top" wrapText="1"/>
      <protection/>
    </xf>
    <xf numFmtId="0" fontId="88" fillId="0" borderId="10" xfId="0" applyNumberFormat="1" applyFont="1" applyFill="1" applyBorder="1" applyAlignment="1" applyProtection="1">
      <alignment horizontal="right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top" wrapText="1"/>
      <protection/>
    </xf>
    <xf numFmtId="1" fontId="1" fillId="35" borderId="10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172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3" fontId="21" fillId="35" borderId="2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3" fontId="9" fillId="35" borderId="10" xfId="0" applyNumberFormat="1" applyFont="1" applyFill="1" applyBorder="1" applyAlignment="1" applyProtection="1">
      <alignment horizontal="right" vertical="center" wrapText="1"/>
      <protection/>
    </xf>
    <xf numFmtId="173" fontId="105" fillId="0" borderId="0" xfId="0" applyNumberFormat="1" applyFont="1" applyAlignment="1">
      <alignment/>
    </xf>
    <xf numFmtId="3" fontId="89" fillId="35" borderId="10" xfId="0" applyNumberFormat="1" applyFont="1" applyFill="1" applyBorder="1" applyAlignment="1" applyProtection="1">
      <alignment vertical="center" wrapText="1"/>
      <protection/>
    </xf>
    <xf numFmtId="1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horizontal="right" vertical="top"/>
      <protection/>
    </xf>
    <xf numFmtId="1" fontId="1" fillId="0" borderId="10" xfId="0" applyNumberFormat="1" applyFont="1" applyFill="1" applyBorder="1" applyAlignment="1" applyProtection="1">
      <alignment vertical="top"/>
      <protection/>
    </xf>
    <xf numFmtId="1" fontId="1" fillId="41" borderId="10" xfId="0" applyNumberFormat="1" applyFont="1" applyFill="1" applyBorder="1" applyAlignment="1" applyProtection="1">
      <alignment horizontal="right" vertical="top"/>
      <protection/>
    </xf>
    <xf numFmtId="1" fontId="1" fillId="41" borderId="10" xfId="0" applyNumberFormat="1" applyFont="1" applyFill="1" applyBorder="1" applyAlignment="1" applyProtection="1">
      <alignment vertical="top"/>
      <protection/>
    </xf>
    <xf numFmtId="3" fontId="1" fillId="35" borderId="10" xfId="0" applyNumberFormat="1" applyFont="1" applyFill="1" applyBorder="1" applyAlignment="1" applyProtection="1">
      <alignment vertical="top"/>
      <protection/>
    </xf>
    <xf numFmtId="1" fontId="11" fillId="35" borderId="10" xfId="0" applyNumberFormat="1" applyFont="1" applyFill="1" applyBorder="1" applyAlignment="1" applyProtection="1">
      <alignment vertical="top"/>
      <protection/>
    </xf>
    <xf numFmtId="1" fontId="1" fillId="35" borderId="10" xfId="0" applyNumberFormat="1" applyFont="1" applyFill="1" applyBorder="1" applyAlignment="1" applyProtection="1">
      <alignment vertical="top" wrapText="1"/>
      <protection/>
    </xf>
    <xf numFmtId="172" fontId="1" fillId="35" borderId="10" xfId="0" applyNumberFormat="1" applyFont="1" applyFill="1" applyBorder="1" applyAlignment="1" applyProtection="1">
      <alignment vertical="center" wrapText="1"/>
      <protection/>
    </xf>
    <xf numFmtId="9" fontId="1" fillId="35" borderId="10" xfId="0" applyNumberFormat="1" applyFont="1" applyFill="1" applyBorder="1" applyAlignment="1" applyProtection="1">
      <alignment vertical="center" wrapText="1"/>
      <protection/>
    </xf>
    <xf numFmtId="2" fontId="1" fillId="35" borderId="1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vertical="top" wrapText="1"/>
      <protection/>
    </xf>
    <xf numFmtId="3" fontId="88" fillId="35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41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24" xfId="0" applyNumberFormat="1" applyFont="1" applyFill="1" applyBorder="1" applyAlignment="1" applyProtection="1">
      <alignment horizontal="right" vertical="top" wrapText="1"/>
      <protection/>
    </xf>
    <xf numFmtId="0" fontId="1" fillId="35" borderId="24" xfId="0" applyNumberFormat="1" applyFont="1" applyFill="1" applyBorder="1" applyAlignment="1" applyProtection="1">
      <alignment horizontal="right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top" wrapText="1"/>
      <protection/>
    </xf>
    <xf numFmtId="3" fontId="21" fillId="0" borderId="11" xfId="0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/>
    </xf>
    <xf numFmtId="2" fontId="21" fillId="35" borderId="10" xfId="0" applyNumberFormat="1" applyFont="1" applyFill="1" applyBorder="1" applyAlignment="1" applyProtection="1">
      <alignment horizontal="right" vertical="center" wrapText="1"/>
      <protection/>
    </xf>
    <xf numFmtId="177" fontId="21" fillId="35" borderId="10" xfId="0" applyNumberFormat="1" applyFont="1" applyFill="1" applyBorder="1" applyAlignment="1" applyProtection="1">
      <alignment horizontal="right" vertical="center" wrapText="1"/>
      <protection/>
    </xf>
    <xf numFmtId="1" fontId="21" fillId="35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35" borderId="1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2" fontId="88" fillId="35" borderId="10" xfId="0" applyNumberFormat="1" applyFont="1" applyFill="1" applyBorder="1" applyAlignment="1" applyProtection="1">
      <alignment vertical="center" wrapText="1"/>
      <protection/>
    </xf>
    <xf numFmtId="3" fontId="88" fillId="35" borderId="10" xfId="0" applyNumberFormat="1" applyFont="1" applyFill="1" applyBorder="1" applyAlignment="1" applyProtection="1">
      <alignment vertical="center" wrapText="1"/>
      <protection/>
    </xf>
    <xf numFmtId="0" fontId="88" fillId="35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56" applyNumberFormat="1" applyFont="1" applyBorder="1" applyAlignment="1">
      <alignment vertical="top" wrapText="1"/>
      <protection/>
    </xf>
    <xf numFmtId="3" fontId="99" fillId="0" borderId="0" xfId="0" applyNumberFormat="1" applyFont="1" applyFill="1" applyBorder="1" applyAlignment="1" applyProtection="1">
      <alignment horizontal="center" vertical="top"/>
      <protection/>
    </xf>
    <xf numFmtId="1" fontId="99" fillId="0" borderId="0" xfId="0" applyNumberFormat="1" applyFont="1" applyFill="1" applyBorder="1" applyAlignment="1" applyProtection="1">
      <alignment horizontal="center" vertical="top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30" xfId="0" applyNumberFormat="1" applyFont="1" applyFill="1" applyBorder="1" applyAlignment="1" applyProtection="1">
      <alignment horizontal="right" vertical="center" wrapText="1"/>
      <protection/>
    </xf>
    <xf numFmtId="0" fontId="1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0" borderId="34" xfId="0" applyNumberFormat="1" applyFont="1" applyFill="1" applyBorder="1" applyAlignment="1" applyProtection="1">
      <alignment horizontal="right" vertical="center" wrapText="1"/>
      <protection/>
    </xf>
    <xf numFmtId="0" fontId="1" fillId="0" borderId="35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7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36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88" fillId="0" borderId="22" xfId="0" applyNumberFormat="1" applyFont="1" applyFill="1" applyBorder="1" applyAlignment="1" applyProtection="1">
      <alignment horizontal="center" vertical="top"/>
      <protection/>
    </xf>
    <xf numFmtId="0" fontId="88" fillId="0" borderId="27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88" fillId="0" borderId="36" xfId="0" applyNumberFormat="1" applyFont="1" applyFill="1" applyBorder="1" applyAlignment="1" applyProtection="1">
      <alignment horizontal="center" vertical="top"/>
      <protection/>
    </xf>
    <xf numFmtId="0" fontId="88" fillId="0" borderId="25" xfId="0" applyNumberFormat="1" applyFont="1" applyFill="1" applyBorder="1" applyAlignment="1" applyProtection="1">
      <alignment horizontal="center" vertical="top"/>
      <protection/>
    </xf>
    <xf numFmtId="0" fontId="1" fillId="0" borderId="36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NumberFormat="1" applyFont="1" applyFill="1" applyBorder="1" applyAlignment="1" applyProtection="1">
      <alignment horizontal="right" vertical="top" wrapText="1"/>
      <protection/>
    </xf>
    <xf numFmtId="0" fontId="88" fillId="0" borderId="10" xfId="0" applyNumberFormat="1" applyFont="1" applyFill="1" applyBorder="1" applyAlignment="1" applyProtection="1">
      <alignment vertical="center" wrapText="1"/>
      <protection/>
    </xf>
    <xf numFmtId="0" fontId="88" fillId="0" borderId="36" xfId="0" applyNumberFormat="1" applyFont="1" applyFill="1" applyBorder="1" applyAlignment="1" applyProtection="1">
      <alignment horizontal="right" vertical="center" wrapText="1"/>
      <protection/>
    </xf>
    <xf numFmtId="0" fontId="88" fillId="0" borderId="21" xfId="0" applyNumberFormat="1" applyFont="1" applyFill="1" applyBorder="1" applyAlignment="1" applyProtection="1">
      <alignment horizontal="right" vertical="center" wrapText="1"/>
      <protection/>
    </xf>
    <xf numFmtId="0" fontId="88" fillId="0" borderId="25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" fontId="1" fillId="0" borderId="36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 vertical="top"/>
    </xf>
    <xf numFmtId="3" fontId="1" fillId="0" borderId="10" xfId="56" applyNumberFormat="1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Font="1" applyBorder="1" applyAlignment="1">
      <alignment horizontal="center" vertical="center"/>
      <protection/>
    </xf>
    <xf numFmtId="3" fontId="1" fillId="0" borderId="10" xfId="56" applyNumberFormat="1" applyFont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Расчёты Бизнес план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</xdr:row>
      <xdr:rowOff>95250</xdr:rowOff>
    </xdr:from>
    <xdr:to>
      <xdr:col>4</xdr:col>
      <xdr:colOff>600075</xdr:colOff>
      <xdr:row>9</xdr:row>
      <xdr:rowOff>104775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4667250" y="171450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57150</xdr:rowOff>
    </xdr:from>
    <xdr:to>
      <xdr:col>6</xdr:col>
      <xdr:colOff>457200</xdr:colOff>
      <xdr:row>13</xdr:row>
      <xdr:rowOff>133350</xdr:rowOff>
    </xdr:to>
    <xdr:sp>
      <xdr:nvSpPr>
        <xdr:cNvPr id="2" name="Прямая со стрелкой 8"/>
        <xdr:cNvSpPr>
          <a:spLocks/>
        </xdr:cNvSpPr>
      </xdr:nvSpPr>
      <xdr:spPr>
        <a:xfrm flipV="1">
          <a:off x="6200775" y="2324100"/>
          <a:ext cx="2667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8;&#1047;&#1053;&#1045;&#1057;-&#1055;&#1051;&#1040;&#1053;\&#1041;&#1080;&#1079;&#1085;&#1077;&#1089;-&#1087;&#1083;&#1072;&#1085;%20&#1052;&#1057;&#1055;\&#1041;&#1055;%20&#1082;&#1086;&#1090;&#1077;&#1083;&#1100;&#1085;&#1086;&#1081;\2019\&#1058;&#1077;&#1087;&#1083;&#1086;_&#1079;&#1072;&#1087;&#1088;&#1086;&#1089;%20&#1076;&#1072;&#1085;&#1085;&#1099;&#1093;%20&#1076;&#1083;&#1103;%20&#1084;&#1086;&#1076;&#1077;&#1083;&#1080;%20&#1091;%20&#1082;&#1083;&#1080;&#1077;&#1085;&#1090;&#107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Input"/>
      <sheetName val="Controls"/>
    </sheetNames>
    <sheetDataSet>
      <sheetData sheetId="1">
        <row r="41">
          <cell r="D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7"/>
  <sheetViews>
    <sheetView tabSelected="1" zoomScale="70" zoomScaleNormal="70" zoomScalePageLayoutView="0" workbookViewId="0" topLeftCell="A1">
      <selection activeCell="L18" sqref="L18"/>
    </sheetView>
  </sheetViews>
  <sheetFormatPr defaultColWidth="9.140625" defaultRowHeight="12.75" outlineLevelRow="1"/>
  <cols>
    <col min="1" max="1" width="4.421875" style="58" customWidth="1"/>
    <col min="2" max="2" width="31.8515625" style="45" customWidth="1"/>
    <col min="3" max="3" width="15.57421875" style="45" customWidth="1"/>
    <col min="4" max="4" width="13.140625" style="45" customWidth="1"/>
    <col min="5" max="5" width="14.00390625" style="45" customWidth="1"/>
    <col min="6" max="6" width="11.140625" style="45" customWidth="1"/>
    <col min="7" max="7" width="10.28125" style="45" customWidth="1"/>
    <col min="8" max="8" width="8.00390625" style="45" customWidth="1"/>
    <col min="9" max="9" width="11.421875" style="45" bestFit="1" customWidth="1"/>
    <col min="10" max="16384" width="9.140625" style="45" customWidth="1"/>
  </cols>
  <sheetData>
    <row r="1" spans="1:3" s="100" customFormat="1" ht="18">
      <c r="A1" s="144"/>
      <c r="B1" s="101" t="s">
        <v>147</v>
      </c>
      <c r="C1" s="100" t="s">
        <v>360</v>
      </c>
    </row>
    <row r="2" ht="12.75"/>
    <row r="3" spans="1:86" s="50" customFormat="1" ht="12.75">
      <c r="A3" s="1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s="50" customFormat="1" ht="20.25">
      <c r="A4" s="145"/>
      <c r="B4" s="55" t="s">
        <v>52</v>
      </c>
      <c r="C4" s="55"/>
      <c r="D4" s="56"/>
      <c r="E4" s="56"/>
      <c r="F4" s="56"/>
      <c r="G4" s="5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s="51" customFormat="1" ht="12.75">
      <c r="A5" s="146"/>
      <c r="B5" s="52" t="s">
        <v>69</v>
      </c>
      <c r="C5" s="52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</row>
    <row r="6" spans="1:86" s="51" customFormat="1" ht="12.75">
      <c r="A6" s="146"/>
      <c r="B6" s="52" t="s">
        <v>227</v>
      </c>
      <c r="C6" s="52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</row>
    <row r="7" ht="12.75"/>
    <row r="8" spans="2:7" ht="12.75">
      <c r="B8" s="102" t="s">
        <v>53</v>
      </c>
      <c r="C8" s="103"/>
      <c r="D8" s="103"/>
      <c r="E8" s="103"/>
      <c r="F8" s="103"/>
      <c r="G8" s="104"/>
    </row>
    <row r="9" spans="2:7" ht="12.75">
      <c r="B9" s="105"/>
      <c r="G9" s="106"/>
    </row>
    <row r="10" spans="2:7" ht="12.75">
      <c r="B10" s="105" t="s">
        <v>75</v>
      </c>
      <c r="F10" s="48"/>
      <c r="G10" s="106"/>
    </row>
    <row r="11" spans="1:7" s="53" customFormat="1" ht="12.75">
      <c r="A11" s="147"/>
      <c r="B11" s="107" t="s">
        <v>78</v>
      </c>
      <c r="G11" s="108"/>
    </row>
    <row r="12" spans="2:7" ht="12.75">
      <c r="B12" s="105"/>
      <c r="G12" s="106"/>
    </row>
    <row r="13" spans="2:7" ht="12.75">
      <c r="B13" s="105" t="s">
        <v>54</v>
      </c>
      <c r="G13" s="106"/>
    </row>
    <row r="14" spans="2:7" ht="12.75">
      <c r="B14" s="107" t="s">
        <v>55</v>
      </c>
      <c r="C14" s="53"/>
      <c r="G14" s="106"/>
    </row>
    <row r="15" spans="2:7" ht="12.75">
      <c r="B15" s="107"/>
      <c r="C15" s="53"/>
      <c r="G15" s="106"/>
    </row>
    <row r="16" spans="2:7" ht="12.75">
      <c r="B16" s="105" t="s">
        <v>146</v>
      </c>
      <c r="G16" s="106"/>
    </row>
    <row r="17" spans="2:7" ht="12.75">
      <c r="B17" s="109" t="s">
        <v>359</v>
      </c>
      <c r="C17" s="110"/>
      <c r="D17" s="110"/>
      <c r="E17" s="110"/>
      <c r="F17" s="110"/>
      <c r="G17" s="111"/>
    </row>
    <row r="18" ht="12.75">
      <c r="B18" s="53"/>
    </row>
    <row r="19" spans="1:86" s="54" customFormat="1" ht="12.75">
      <c r="A19" s="148"/>
      <c r="B19" s="47" t="s">
        <v>59</v>
      </c>
      <c r="C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ht="12.75"/>
    <row r="21" spans="2:4" ht="12.75">
      <c r="B21" s="45" t="s">
        <v>61</v>
      </c>
      <c r="C21" s="58"/>
      <c r="D21" s="168" t="s">
        <v>62</v>
      </c>
    </row>
    <row r="22" spans="2:4" ht="12.75">
      <c r="B22" s="45" t="s">
        <v>63</v>
      </c>
      <c r="C22" s="58"/>
      <c r="D22" s="168" t="s">
        <v>60</v>
      </c>
    </row>
    <row r="23" spans="2:4" ht="12.75">
      <c r="B23" s="45" t="s">
        <v>64</v>
      </c>
      <c r="C23" s="58"/>
      <c r="D23" s="168">
        <f>5*4</f>
        <v>20</v>
      </c>
    </row>
    <row r="24" spans="2:4" ht="12.75">
      <c r="B24" s="45" t="s">
        <v>193</v>
      </c>
      <c r="C24" s="58"/>
      <c r="D24" s="168" t="s">
        <v>8</v>
      </c>
    </row>
    <row r="25" spans="2:3" ht="12.75">
      <c r="B25" s="49" t="s">
        <v>194</v>
      </c>
      <c r="C25" s="58"/>
    </row>
    <row r="26" spans="2:4" ht="12.75" hidden="1">
      <c r="B26" s="45" t="s">
        <v>205</v>
      </c>
      <c r="C26" s="58"/>
      <c r="D26" s="169">
        <v>1</v>
      </c>
    </row>
    <row r="27" spans="2:3" ht="12.75" hidden="1">
      <c r="B27" s="49" t="s">
        <v>206</v>
      </c>
      <c r="C27" s="58"/>
    </row>
    <row r="28" spans="2:4" ht="12.75" hidden="1">
      <c r="B28" s="45" t="s">
        <v>207</v>
      </c>
      <c r="C28" s="58"/>
      <c r="D28" s="170">
        <f>IF(D26=1,1,1.05)</f>
        <v>1</v>
      </c>
    </row>
    <row r="29" ht="12.75"/>
    <row r="30" spans="1:86" s="54" customFormat="1" ht="12.75">
      <c r="A30" s="148"/>
      <c r="B30" s="47" t="s">
        <v>68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ht="12.75">
      <c r="B31" s="53" t="s">
        <v>184</v>
      </c>
    </row>
    <row r="32" ht="12.75">
      <c r="B32" s="53"/>
    </row>
    <row r="33" spans="2:4" ht="12.75">
      <c r="B33" s="45" t="s">
        <v>56</v>
      </c>
      <c r="D33" s="93">
        <v>2019</v>
      </c>
    </row>
    <row r="34" spans="1:2" s="49" customFormat="1" ht="12">
      <c r="A34" s="149"/>
      <c r="B34" s="49" t="s">
        <v>57</v>
      </c>
    </row>
    <row r="35" spans="2:4" ht="12.75">
      <c r="B35" s="45" t="s">
        <v>58</v>
      </c>
      <c r="D35" s="93">
        <v>1</v>
      </c>
    </row>
    <row r="36" spans="1:2" s="59" customFormat="1" ht="12">
      <c r="A36" s="150"/>
      <c r="B36" s="49" t="s">
        <v>66</v>
      </c>
    </row>
    <row r="37" ht="12.75"/>
    <row r="38" spans="2:4" ht="12.75">
      <c r="B38" s="45" t="s">
        <v>65</v>
      </c>
      <c r="D38" s="93">
        <v>3</v>
      </c>
    </row>
    <row r="39" spans="1:2" s="59" customFormat="1" ht="12">
      <c r="A39" s="150"/>
      <c r="B39" s="49" t="s">
        <v>67</v>
      </c>
    </row>
    <row r="40" ht="12.75"/>
    <row r="41" spans="1:86" s="47" customFormat="1" ht="12.75">
      <c r="A41" s="151"/>
      <c r="B41" s="47" t="s">
        <v>70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</row>
    <row r="42" ht="12.75">
      <c r="B42" s="53" t="s">
        <v>76</v>
      </c>
    </row>
    <row r="43" ht="12.75">
      <c r="B43" s="53"/>
    </row>
    <row r="44" spans="1:2" ht="15">
      <c r="A44" s="58" t="s">
        <v>185</v>
      </c>
      <c r="B44" s="65" t="s">
        <v>235</v>
      </c>
    </row>
    <row r="45" spans="2:4" ht="25.5">
      <c r="B45" s="75" t="s">
        <v>71</v>
      </c>
      <c r="C45" s="75" t="s">
        <v>72</v>
      </c>
      <c r="D45" s="75" t="s">
        <v>73</v>
      </c>
    </row>
    <row r="46" spans="2:4" ht="25.5" customHeight="1">
      <c r="B46" s="276" t="s">
        <v>228</v>
      </c>
      <c r="C46" s="276"/>
      <c r="D46" s="76">
        <f>SUM(D47:D49)</f>
        <v>2</v>
      </c>
    </row>
    <row r="47" spans="2:4" ht="12.75" hidden="1">
      <c r="B47" s="89" t="s">
        <v>229</v>
      </c>
      <c r="C47" s="88">
        <v>60</v>
      </c>
      <c r="D47" s="88">
        <v>0</v>
      </c>
    </row>
    <row r="48" spans="2:4" ht="12.75">
      <c r="B48" s="89" t="s">
        <v>270</v>
      </c>
      <c r="C48" s="88">
        <v>5</v>
      </c>
      <c r="D48" s="88">
        <v>1</v>
      </c>
    </row>
    <row r="49" spans="2:4" ht="12.75">
      <c r="B49" s="89" t="s">
        <v>324</v>
      </c>
      <c r="C49" s="88">
        <v>50</v>
      </c>
      <c r="D49" s="88">
        <v>1</v>
      </c>
    </row>
    <row r="50" spans="2:4" ht="12.75">
      <c r="B50" s="276" t="s">
        <v>231</v>
      </c>
      <c r="C50" s="276"/>
      <c r="D50" s="76">
        <f>D51+D52</f>
        <v>3</v>
      </c>
    </row>
    <row r="51" spans="2:4" ht="28.5" customHeight="1">
      <c r="B51" s="83" t="s">
        <v>271</v>
      </c>
      <c r="C51" s="88">
        <v>40</v>
      </c>
      <c r="D51" s="88">
        <v>2</v>
      </c>
    </row>
    <row r="52" spans="2:4" ht="12.75">
      <c r="B52" s="76" t="s">
        <v>232</v>
      </c>
      <c r="C52" s="198">
        <v>40</v>
      </c>
      <c r="D52" s="88">
        <v>1</v>
      </c>
    </row>
    <row r="53" spans="2:4" ht="12.75">
      <c r="B53" s="189" t="s">
        <v>74</v>
      </c>
      <c r="C53" s="190" t="s">
        <v>35</v>
      </c>
      <c r="D53" s="190">
        <f>D46+D50</f>
        <v>5</v>
      </c>
    </row>
    <row r="54" ht="12.75"/>
    <row r="55" spans="1:86" s="46" customFormat="1" ht="12.75">
      <c r="A55" s="152"/>
      <c r="B55" s="46" t="s">
        <v>77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</row>
    <row r="56" ht="12.75">
      <c r="B56" s="53" t="s">
        <v>183</v>
      </c>
    </row>
    <row r="57" ht="12.75">
      <c r="B57" s="53"/>
    </row>
    <row r="58" spans="1:2" ht="17.25" customHeight="1">
      <c r="A58" s="58" t="s">
        <v>186</v>
      </c>
      <c r="B58" s="63" t="s">
        <v>329</v>
      </c>
    </row>
    <row r="59" spans="1:5" s="68" customFormat="1" ht="32.25" customHeight="1">
      <c r="A59" s="153"/>
      <c r="B59" s="75" t="s">
        <v>233</v>
      </c>
      <c r="C59" s="75" t="s">
        <v>234</v>
      </c>
      <c r="D59" s="75" t="s">
        <v>277</v>
      </c>
      <c r="E59" s="75" t="s">
        <v>327</v>
      </c>
    </row>
    <row r="60" spans="2:5" ht="12.75">
      <c r="B60" s="76" t="s">
        <v>330</v>
      </c>
      <c r="C60" s="198">
        <f>C61+C62</f>
        <v>0.21</v>
      </c>
      <c r="D60" s="198" t="s">
        <v>35</v>
      </c>
      <c r="E60" s="190">
        <f>E61+E62</f>
        <v>3150</v>
      </c>
    </row>
    <row r="61" spans="2:5" ht="12.75">
      <c r="B61" s="76" t="s">
        <v>331</v>
      </c>
      <c r="C61" s="198">
        <f>150/1000</f>
        <v>0.15</v>
      </c>
      <c r="D61" s="190">
        <v>15</v>
      </c>
      <c r="E61" s="200">
        <f>C61*D61*C69</f>
        <v>2250</v>
      </c>
    </row>
    <row r="62" spans="2:5" ht="12.75">
      <c r="B62" s="76" t="s">
        <v>332</v>
      </c>
      <c r="C62" s="198">
        <f>60/1000</f>
        <v>0.06</v>
      </c>
      <c r="D62" s="190">
        <v>15</v>
      </c>
      <c r="E62" s="200">
        <f>C62*D62*C70</f>
        <v>899.9999999999999</v>
      </c>
    </row>
    <row r="63" ht="12.75"/>
    <row r="64" spans="1:86" s="46" customFormat="1" ht="12" customHeight="1">
      <c r="A64" s="152"/>
      <c r="B64" s="46" t="s">
        <v>275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</row>
    <row r="65" ht="12.75">
      <c r="B65" s="53" t="s">
        <v>181</v>
      </c>
    </row>
    <row r="66" ht="12.75">
      <c r="B66" s="53"/>
    </row>
    <row r="67" spans="1:5" s="64" customFormat="1" ht="15">
      <c r="A67" s="124" t="s">
        <v>187</v>
      </c>
      <c r="B67" s="63" t="s">
        <v>333</v>
      </c>
      <c r="C67" s="45"/>
      <c r="D67" s="45"/>
      <c r="E67" s="45"/>
    </row>
    <row r="68" spans="1:5" s="64" customFormat="1" ht="25.5">
      <c r="A68" s="124"/>
      <c r="B68" s="75" t="s">
        <v>124</v>
      </c>
      <c r="C68" s="75" t="s">
        <v>276</v>
      </c>
      <c r="D68" s="75" t="s">
        <v>278</v>
      </c>
      <c r="E68" s="75" t="s">
        <v>281</v>
      </c>
    </row>
    <row r="69" spans="1:5" s="64" customFormat="1" ht="12.75">
      <c r="A69" s="124"/>
      <c r="B69" s="76" t="s">
        <v>279</v>
      </c>
      <c r="C69" s="198">
        <v>1000</v>
      </c>
      <c r="D69" s="254">
        <v>450</v>
      </c>
      <c r="E69" s="200">
        <f>C69*D69/1000</f>
        <v>450</v>
      </c>
    </row>
    <row r="70" spans="1:5" s="64" customFormat="1" ht="12.75">
      <c r="A70" s="124"/>
      <c r="B70" s="76" t="s">
        <v>280</v>
      </c>
      <c r="C70" s="198">
        <v>1000</v>
      </c>
      <c r="D70" s="254">
        <v>150</v>
      </c>
      <c r="E70" s="200">
        <f>C70*D70/1000</f>
        <v>150</v>
      </c>
    </row>
    <row r="71" spans="1:5" s="64" customFormat="1" ht="12.75">
      <c r="A71" s="124"/>
      <c r="B71" s="76" t="s">
        <v>11</v>
      </c>
      <c r="C71" s="190">
        <f>C69+C70</f>
        <v>2000</v>
      </c>
      <c r="D71" s="254" t="s">
        <v>35</v>
      </c>
      <c r="E71" s="200">
        <f>E69+E70</f>
        <v>600</v>
      </c>
    </row>
    <row r="72" ht="12.75">
      <c r="B72" s="53"/>
    </row>
    <row r="73" spans="1:2" s="63" customFormat="1" ht="15">
      <c r="A73" s="154" t="s">
        <v>208</v>
      </c>
      <c r="B73" s="63" t="s">
        <v>238</v>
      </c>
    </row>
    <row r="74" spans="2:3" ht="38.25">
      <c r="B74" s="75" t="s">
        <v>236</v>
      </c>
      <c r="C74" s="75" t="s">
        <v>237</v>
      </c>
    </row>
    <row r="75" spans="2:3" ht="12.75">
      <c r="B75" s="76" t="s">
        <v>272</v>
      </c>
      <c r="C75" s="77">
        <v>2625</v>
      </c>
    </row>
    <row r="76" spans="2:3" ht="12.75">
      <c r="B76" s="76" t="s">
        <v>273</v>
      </c>
      <c r="C76" s="77">
        <v>200</v>
      </c>
    </row>
    <row r="77" spans="2:3" ht="25.5">
      <c r="B77" s="76" t="s">
        <v>274</v>
      </c>
      <c r="C77" s="77">
        <v>315</v>
      </c>
    </row>
    <row r="78" spans="2:3" ht="12.75">
      <c r="B78" s="76" t="s">
        <v>11</v>
      </c>
      <c r="C78" s="199">
        <f>SUM(C75:C77)</f>
        <v>3140</v>
      </c>
    </row>
    <row r="79" ht="12.75">
      <c r="B79" s="53"/>
    </row>
    <row r="80" spans="1:2" ht="17.25" customHeight="1">
      <c r="A80" s="58" t="s">
        <v>209</v>
      </c>
      <c r="B80" s="63" t="s">
        <v>334</v>
      </c>
    </row>
    <row r="81" spans="2:5" ht="25.5">
      <c r="B81" s="60" t="s">
        <v>79</v>
      </c>
      <c r="C81" s="60" t="s">
        <v>276</v>
      </c>
      <c r="D81" s="60" t="s">
        <v>80</v>
      </c>
      <c r="E81" s="60" t="s">
        <v>84</v>
      </c>
    </row>
    <row r="82" spans="2:5" ht="12.75" customHeight="1">
      <c r="B82" s="277" t="s">
        <v>282</v>
      </c>
      <c r="C82" s="278"/>
      <c r="D82" s="278"/>
      <c r="E82" s="207">
        <f>E83+E84+E85+E86+E87</f>
        <v>215</v>
      </c>
    </row>
    <row r="83" spans="2:5" ht="25.5">
      <c r="B83" s="76" t="s">
        <v>283</v>
      </c>
      <c r="C83" s="255">
        <v>1</v>
      </c>
      <c r="D83" s="203">
        <v>15000</v>
      </c>
      <c r="E83" s="204">
        <f>C83*D83/1000</f>
        <v>15</v>
      </c>
    </row>
    <row r="84" spans="2:5" ht="13.5" customHeight="1">
      <c r="B84" s="76" t="s">
        <v>284</v>
      </c>
      <c r="C84" s="255">
        <v>4</v>
      </c>
      <c r="D84" s="203">
        <v>15000</v>
      </c>
      <c r="E84" s="204">
        <f aca="true" t="shared" si="0" ref="E84:E91">C84*D84/1000</f>
        <v>60</v>
      </c>
    </row>
    <row r="85" spans="2:5" ht="12.75">
      <c r="B85" s="76" t="s">
        <v>285</v>
      </c>
      <c r="C85" s="255">
        <v>4</v>
      </c>
      <c r="D85" s="203">
        <v>20000</v>
      </c>
      <c r="E85" s="204">
        <f t="shared" si="0"/>
        <v>80</v>
      </c>
    </row>
    <row r="86" spans="2:5" ht="12.75">
      <c r="B86" s="76" t="s">
        <v>286</v>
      </c>
      <c r="C86" s="255">
        <v>1</v>
      </c>
      <c r="D86" s="203">
        <v>30000</v>
      </c>
      <c r="E86" s="204">
        <f t="shared" si="0"/>
        <v>30</v>
      </c>
    </row>
    <row r="87" spans="2:5" ht="25.5">
      <c r="B87" s="76" t="s">
        <v>287</v>
      </c>
      <c r="C87" s="255" t="s">
        <v>35</v>
      </c>
      <c r="D87" s="203" t="s">
        <v>35</v>
      </c>
      <c r="E87" s="204">
        <v>30</v>
      </c>
    </row>
    <row r="88" spans="2:5" ht="12.75">
      <c r="B88" s="279" t="s">
        <v>288</v>
      </c>
      <c r="C88" s="278"/>
      <c r="D88" s="278"/>
      <c r="E88" s="208">
        <f>E89</f>
        <v>1550</v>
      </c>
    </row>
    <row r="89" spans="2:5" ht="12.75">
      <c r="B89" s="61" t="s">
        <v>289</v>
      </c>
      <c r="C89" s="201">
        <v>1</v>
      </c>
      <c r="D89" s="203">
        <v>1550000</v>
      </c>
      <c r="E89" s="202">
        <f t="shared" si="0"/>
        <v>1550</v>
      </c>
    </row>
    <row r="90" spans="2:5" ht="12.75">
      <c r="B90" s="280" t="s">
        <v>290</v>
      </c>
      <c r="C90" s="278"/>
      <c r="D90" s="278"/>
      <c r="E90" s="208">
        <f>E91</f>
        <v>280</v>
      </c>
    </row>
    <row r="91" spans="2:5" ht="12.75">
      <c r="B91" s="61" t="s">
        <v>354</v>
      </c>
      <c r="C91" s="201">
        <v>1</v>
      </c>
      <c r="D91" s="203">
        <v>280000</v>
      </c>
      <c r="E91" s="202">
        <f t="shared" si="0"/>
        <v>280</v>
      </c>
    </row>
    <row r="92" spans="2:5" ht="12.75">
      <c r="B92" s="277" t="s">
        <v>291</v>
      </c>
      <c r="C92" s="284"/>
      <c r="D92" s="285"/>
      <c r="E92" s="202">
        <f>E93</f>
        <v>1500</v>
      </c>
    </row>
    <row r="93" spans="2:5" ht="12.75">
      <c r="B93" s="76" t="s">
        <v>292</v>
      </c>
      <c r="C93" s="196">
        <v>1</v>
      </c>
      <c r="D93" s="257">
        <v>1500000</v>
      </c>
      <c r="E93" s="256">
        <f>C93*D93/1000</f>
        <v>1500</v>
      </c>
    </row>
    <row r="94" spans="2:5" ht="12.75">
      <c r="B94" s="279" t="s">
        <v>82</v>
      </c>
      <c r="C94" s="281"/>
      <c r="D94" s="282"/>
      <c r="E94" s="203">
        <v>380</v>
      </c>
    </row>
    <row r="95" spans="2:5" ht="12.75">
      <c r="B95" s="280" t="s">
        <v>83</v>
      </c>
      <c r="C95" s="278"/>
      <c r="D95" s="283"/>
      <c r="E95" s="205">
        <v>1.3</v>
      </c>
    </row>
    <row r="96" spans="2:5" ht="12.75">
      <c r="B96" s="280" t="s">
        <v>85</v>
      </c>
      <c r="C96" s="278"/>
      <c r="D96" s="283"/>
      <c r="E96" s="67">
        <f>E94*E95</f>
        <v>494</v>
      </c>
    </row>
    <row r="97" spans="2:5" ht="12.75">
      <c r="B97" s="311" t="s">
        <v>81</v>
      </c>
      <c r="C97" s="311"/>
      <c r="D97" s="311"/>
      <c r="E97" s="206">
        <f>E82+E88+E90+E92+E96</f>
        <v>4039</v>
      </c>
    </row>
    <row r="98" ht="12.75"/>
    <row r="99" spans="1:86" s="46" customFormat="1" ht="12" customHeight="1">
      <c r="A99" s="152"/>
      <c r="B99" s="46" t="s">
        <v>86</v>
      </c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</row>
    <row r="100" ht="12.75">
      <c r="B100" s="53" t="s">
        <v>182</v>
      </c>
    </row>
    <row r="101" spans="2:5" ht="12.75" hidden="1">
      <c r="B101" s="64" t="s">
        <v>156</v>
      </c>
      <c r="C101" s="64"/>
      <c r="D101" s="64"/>
      <c r="E101" s="64"/>
    </row>
    <row r="102" spans="2:5" ht="12.75" hidden="1">
      <c r="B102" s="123" t="s">
        <v>37</v>
      </c>
      <c r="C102" s="123" t="s">
        <v>4</v>
      </c>
      <c r="D102" s="123" t="s">
        <v>38</v>
      </c>
      <c r="E102" s="123" t="s">
        <v>36</v>
      </c>
    </row>
    <row r="103" spans="2:5" ht="12.75" hidden="1">
      <c r="B103" s="125">
        <v>0.25</v>
      </c>
      <c r="C103" s="125">
        <v>0.25</v>
      </c>
      <c r="D103" s="125">
        <f>C103</f>
        <v>0.25</v>
      </c>
      <c r="E103" s="125">
        <f>D103</f>
        <v>0.25</v>
      </c>
    </row>
    <row r="104" spans="2:5" ht="12.75">
      <c r="B104" s="131"/>
      <c r="C104" s="131"/>
      <c r="D104" s="131"/>
      <c r="E104" s="131"/>
    </row>
    <row r="105" spans="1:2" s="64" customFormat="1" ht="12.75" hidden="1">
      <c r="A105" s="124"/>
      <c r="B105" s="64" t="s">
        <v>154</v>
      </c>
    </row>
    <row r="106" spans="1:5" s="64" customFormat="1" ht="12.75" hidden="1">
      <c r="A106" s="124"/>
      <c r="B106" s="123" t="s">
        <v>150</v>
      </c>
      <c r="C106" s="123" t="s">
        <v>151</v>
      </c>
      <c r="D106" s="123" t="s">
        <v>152</v>
      </c>
      <c r="E106" s="123" t="s">
        <v>153</v>
      </c>
    </row>
    <row r="107" spans="2:5" s="124" customFormat="1" ht="12.75" hidden="1">
      <c r="B107" s="125">
        <v>0</v>
      </c>
      <c r="C107" s="125">
        <f>B107</f>
        <v>0</v>
      </c>
      <c r="D107" s="125">
        <f>C107</f>
        <v>0</v>
      </c>
      <c r="E107" s="125">
        <f>D107</f>
        <v>0</v>
      </c>
    </row>
    <row r="108" spans="1:2" ht="17.25" customHeight="1">
      <c r="A108" s="58" t="s">
        <v>210</v>
      </c>
      <c r="B108" s="70" t="s">
        <v>335</v>
      </c>
    </row>
    <row r="109" spans="1:15" s="64" customFormat="1" ht="59.25" customHeight="1">
      <c r="A109" s="124"/>
      <c r="B109" s="60" t="s">
        <v>2</v>
      </c>
      <c r="C109" s="71" t="s">
        <v>12</v>
      </c>
      <c r="D109" s="71" t="s">
        <v>13</v>
      </c>
      <c r="E109" s="71" t="s">
        <v>14</v>
      </c>
      <c r="F109" s="71" t="s">
        <v>15</v>
      </c>
      <c r="G109" s="71" t="s">
        <v>16</v>
      </c>
      <c r="H109" s="71" t="s">
        <v>17</v>
      </c>
      <c r="I109" s="71" t="s">
        <v>18</v>
      </c>
      <c r="J109" s="71" t="s">
        <v>19</v>
      </c>
      <c r="K109" s="71" t="s">
        <v>20</v>
      </c>
      <c r="L109" s="71" t="s">
        <v>21</v>
      </c>
      <c r="M109" s="71" t="s">
        <v>22</v>
      </c>
      <c r="N109" s="71" t="s">
        <v>23</v>
      </c>
      <c r="O109" s="72" t="s">
        <v>24</v>
      </c>
    </row>
    <row r="110" spans="1:15" s="64" customFormat="1" ht="12.75">
      <c r="A110" s="124"/>
      <c r="B110" s="61" t="s">
        <v>239</v>
      </c>
      <c r="C110" s="62">
        <v>31</v>
      </c>
      <c r="D110" s="62">
        <v>28</v>
      </c>
      <c r="E110" s="62">
        <v>31</v>
      </c>
      <c r="F110" s="62">
        <v>30</v>
      </c>
      <c r="G110" s="62">
        <v>31</v>
      </c>
      <c r="H110" s="62">
        <v>30</v>
      </c>
      <c r="I110" s="62">
        <v>31</v>
      </c>
      <c r="J110" s="62">
        <v>31</v>
      </c>
      <c r="K110" s="62">
        <v>30</v>
      </c>
      <c r="L110" s="62">
        <v>31</v>
      </c>
      <c r="M110" s="62">
        <v>30</v>
      </c>
      <c r="N110" s="62">
        <v>31</v>
      </c>
      <c r="O110" s="69">
        <f>SUM(C110:N110)</f>
        <v>365</v>
      </c>
    </row>
    <row r="111" spans="1:15" s="64" customFormat="1" ht="12.75">
      <c r="A111" s="124"/>
      <c r="B111" s="61" t="s">
        <v>301</v>
      </c>
      <c r="C111" s="62">
        <v>24</v>
      </c>
      <c r="D111" s="62">
        <v>23</v>
      </c>
      <c r="E111" s="62">
        <v>26</v>
      </c>
      <c r="F111" s="62">
        <v>26</v>
      </c>
      <c r="G111" s="62">
        <v>26</v>
      </c>
      <c r="H111" s="62">
        <v>26</v>
      </c>
      <c r="I111" s="62">
        <v>26</v>
      </c>
      <c r="J111" s="62">
        <v>27</v>
      </c>
      <c r="K111" s="62">
        <v>26</v>
      </c>
      <c r="L111" s="62">
        <v>26</v>
      </c>
      <c r="M111" s="62">
        <v>26</v>
      </c>
      <c r="N111" s="62">
        <v>26</v>
      </c>
      <c r="O111" s="69">
        <f>SUM(C111:N111)</f>
        <v>308</v>
      </c>
    </row>
    <row r="112" ht="12.75"/>
    <row r="113" spans="1:2" ht="18" customHeight="1">
      <c r="A113" s="58" t="s">
        <v>211</v>
      </c>
      <c r="B113" s="64" t="s">
        <v>336</v>
      </c>
    </row>
    <row r="114" spans="2:3" ht="25.5">
      <c r="B114" s="75" t="s">
        <v>2</v>
      </c>
      <c r="C114" s="75" t="s">
        <v>92</v>
      </c>
    </row>
    <row r="115" spans="2:3" ht="12.75">
      <c r="B115" s="76" t="s">
        <v>240</v>
      </c>
      <c r="C115" s="189">
        <f>C69</f>
        <v>1000</v>
      </c>
    </row>
    <row r="116" spans="2:3" ht="17.25" customHeight="1">
      <c r="B116" s="76" t="s">
        <v>293</v>
      </c>
      <c r="C116" s="76">
        <v>300</v>
      </c>
    </row>
    <row r="117" spans="2:3" ht="12.75">
      <c r="B117" s="76" t="s">
        <v>294</v>
      </c>
      <c r="C117" s="76">
        <v>1.5</v>
      </c>
    </row>
    <row r="118" ht="12.75"/>
    <row r="119" spans="1:2" s="63" customFormat="1" ht="15">
      <c r="A119" s="154" t="s">
        <v>212</v>
      </c>
      <c r="B119" s="63" t="s">
        <v>337</v>
      </c>
    </row>
    <row r="120" spans="2:3" ht="25.5">
      <c r="B120" s="75" t="s">
        <v>2</v>
      </c>
      <c r="C120" s="75" t="s">
        <v>92</v>
      </c>
    </row>
    <row r="121" spans="2:3" ht="12.75">
      <c r="B121" s="253" t="str">
        <f>B115</f>
        <v>Количество голов</v>
      </c>
      <c r="C121" s="195">
        <f>C70</f>
        <v>1000</v>
      </c>
    </row>
    <row r="122" spans="2:3" ht="12.75">
      <c r="B122" s="76" t="s">
        <v>295</v>
      </c>
      <c r="C122" s="196">
        <v>2.5</v>
      </c>
    </row>
    <row r="123" spans="2:3" ht="12.75">
      <c r="B123" s="76" t="s">
        <v>298</v>
      </c>
      <c r="C123" s="196">
        <v>4</v>
      </c>
    </row>
    <row r="124" ht="12.75"/>
    <row r="125" spans="1:2" ht="15">
      <c r="A125" s="58" t="s">
        <v>214</v>
      </c>
      <c r="B125" s="70" t="s">
        <v>357</v>
      </c>
    </row>
    <row r="126" spans="2:5" s="58" customFormat="1" ht="45.75" customHeight="1">
      <c r="B126" s="209" t="s">
        <v>87</v>
      </c>
      <c r="C126" s="209" t="s">
        <v>299</v>
      </c>
      <c r="D126" s="233" t="s">
        <v>80</v>
      </c>
      <c r="E126" s="210" t="s">
        <v>88</v>
      </c>
    </row>
    <row r="127" spans="2:5" ht="15">
      <c r="B127" s="66" t="s">
        <v>296</v>
      </c>
      <c r="C127" s="258">
        <f>C115*C116</f>
        <v>300000</v>
      </c>
      <c r="D127" s="234">
        <v>12</v>
      </c>
      <c r="E127" s="211">
        <f>C127*D127/1000</f>
        <v>3600</v>
      </c>
    </row>
    <row r="128" spans="2:5" ht="15">
      <c r="B128" s="66" t="s">
        <v>297</v>
      </c>
      <c r="C128" s="258">
        <f>C115*C117</f>
        <v>1500</v>
      </c>
      <c r="D128" s="211">
        <v>460</v>
      </c>
      <c r="E128" s="211">
        <f>C128*D128/1000</f>
        <v>690</v>
      </c>
    </row>
    <row r="129" spans="2:5" ht="15">
      <c r="B129" s="80" t="s">
        <v>320</v>
      </c>
      <c r="C129" s="259">
        <f>C121*C122*C123</f>
        <v>10000</v>
      </c>
      <c r="D129" s="212">
        <v>460</v>
      </c>
      <c r="E129" s="211">
        <f>C129*D129/1000</f>
        <v>4600</v>
      </c>
    </row>
    <row r="130" spans="2:5" ht="15">
      <c r="B130" s="74" t="s">
        <v>11</v>
      </c>
      <c r="C130" s="213" t="s">
        <v>35</v>
      </c>
      <c r="D130" s="213" t="s">
        <v>35</v>
      </c>
      <c r="E130" s="213">
        <f>SUM(E127:E129)</f>
        <v>8890</v>
      </c>
    </row>
    <row r="131" spans="2:7" ht="15">
      <c r="B131" s="78"/>
      <c r="C131" s="79"/>
      <c r="D131" s="90"/>
      <c r="E131" s="90"/>
      <c r="F131" s="90"/>
      <c r="G131" s="90"/>
    </row>
    <row r="132" spans="1:86" s="46" customFormat="1" ht="12" customHeight="1">
      <c r="A132" s="152"/>
      <c r="B132" s="46" t="s">
        <v>89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</row>
    <row r="133" ht="12.75">
      <c r="B133" s="53" t="s">
        <v>181</v>
      </c>
    </row>
    <row r="134" ht="12.75">
      <c r="B134" s="53"/>
    </row>
    <row r="135" spans="1:2" ht="17.25" customHeight="1">
      <c r="A135" s="58" t="s">
        <v>215</v>
      </c>
      <c r="B135" s="63" t="s">
        <v>338</v>
      </c>
    </row>
    <row r="136" spans="2:5" ht="36.75" customHeight="1">
      <c r="B136" s="73" t="s">
        <v>87</v>
      </c>
      <c r="C136" s="75" t="s">
        <v>300</v>
      </c>
      <c r="D136" s="75" t="s">
        <v>251</v>
      </c>
      <c r="E136" s="75" t="s">
        <v>241</v>
      </c>
    </row>
    <row r="137" spans="2:5" ht="15">
      <c r="B137" s="74" t="s">
        <v>242</v>
      </c>
      <c r="C137" s="260">
        <f>E60</f>
        <v>3150</v>
      </c>
      <c r="D137" s="191">
        <f>O110</f>
        <v>365</v>
      </c>
      <c r="E137" s="213">
        <f>C137*D137/1000</f>
        <v>1149.75</v>
      </c>
    </row>
    <row r="138" spans="2:5" ht="25.5">
      <c r="B138" s="73" t="s">
        <v>87</v>
      </c>
      <c r="C138" s="75" t="s">
        <v>304</v>
      </c>
      <c r="D138" s="75" t="s">
        <v>240</v>
      </c>
      <c r="E138" s="75" t="s">
        <v>241</v>
      </c>
    </row>
    <row r="139" spans="2:5" ht="15">
      <c r="B139" s="74" t="s">
        <v>302</v>
      </c>
      <c r="C139" s="262">
        <f>D69</f>
        <v>450</v>
      </c>
      <c r="D139" s="191">
        <f>C115</f>
        <v>1000</v>
      </c>
      <c r="E139" s="261">
        <f>C139*D139/1000</f>
        <v>450</v>
      </c>
    </row>
    <row r="140" spans="2:5" ht="15">
      <c r="B140" s="74" t="s">
        <v>303</v>
      </c>
      <c r="C140" s="262">
        <f>D70</f>
        <v>150</v>
      </c>
      <c r="D140" s="191">
        <f>C121*C123</f>
        <v>4000</v>
      </c>
      <c r="E140" s="261">
        <f>C140*D140/1000</f>
        <v>600</v>
      </c>
    </row>
    <row r="141" spans="2:5" ht="15">
      <c r="B141" s="296" t="s">
        <v>11</v>
      </c>
      <c r="C141" s="296"/>
      <c r="D141" s="296"/>
      <c r="E141" s="213">
        <f>E139+E140</f>
        <v>1050</v>
      </c>
    </row>
    <row r="142" ht="12.75"/>
    <row r="143" spans="1:2" s="63" customFormat="1" ht="15">
      <c r="A143" s="154" t="s">
        <v>216</v>
      </c>
      <c r="B143" s="63" t="s">
        <v>340</v>
      </c>
    </row>
    <row r="144" spans="2:6" ht="17.25" customHeight="1">
      <c r="B144" s="288" t="s">
        <v>87</v>
      </c>
      <c r="C144" s="275" t="s">
        <v>243</v>
      </c>
      <c r="D144" s="275"/>
      <c r="E144" s="288" t="s">
        <v>244</v>
      </c>
      <c r="F144" s="288" t="s">
        <v>245</v>
      </c>
    </row>
    <row r="145" spans="2:6" ht="37.5" customHeight="1">
      <c r="B145" s="289"/>
      <c r="C145" s="75" t="s">
        <v>306</v>
      </c>
      <c r="D145" s="75" t="s">
        <v>246</v>
      </c>
      <c r="E145" s="289"/>
      <c r="F145" s="289"/>
    </row>
    <row r="146" spans="2:6" ht="20.25" customHeight="1">
      <c r="B146" s="76" t="s">
        <v>305</v>
      </c>
      <c r="C146" s="199">
        <f>(C128+C129)</f>
        <v>11500</v>
      </c>
      <c r="D146" s="214">
        <f>C146*0.5/1000</f>
        <v>5.75</v>
      </c>
      <c r="E146" s="198">
        <v>1.5</v>
      </c>
      <c r="F146" s="215">
        <f>D146*E146</f>
        <v>8.625</v>
      </c>
    </row>
    <row r="147" ht="12.75"/>
    <row r="148" spans="1:2" ht="15">
      <c r="A148" s="58" t="s">
        <v>217</v>
      </c>
      <c r="B148" s="63" t="s">
        <v>339</v>
      </c>
    </row>
    <row r="149" spans="2:6" ht="51">
      <c r="B149" s="75" t="s">
        <v>71</v>
      </c>
      <c r="C149" s="75" t="s">
        <v>247</v>
      </c>
      <c r="D149" s="75" t="s">
        <v>73</v>
      </c>
      <c r="E149" s="75" t="s">
        <v>90</v>
      </c>
      <c r="F149" s="75" t="s">
        <v>91</v>
      </c>
    </row>
    <row r="150" spans="2:6" ht="12.75">
      <c r="B150" s="301" t="s">
        <v>228</v>
      </c>
      <c r="C150" s="302"/>
      <c r="D150" s="219">
        <f>SUM(D151:D152)</f>
        <v>1</v>
      </c>
      <c r="E150" s="220">
        <f>SUM(E151:E152)</f>
        <v>60</v>
      </c>
      <c r="F150" s="220">
        <f>SUM(F151:F152)</f>
        <v>60</v>
      </c>
    </row>
    <row r="151" spans="2:6" ht="12.75">
      <c r="B151" s="197" t="s">
        <v>229</v>
      </c>
      <c r="C151" s="217">
        <f>C47</f>
        <v>60</v>
      </c>
      <c r="D151" s="217">
        <f>D47</f>
        <v>0</v>
      </c>
      <c r="E151" s="216">
        <f>C151*D151*12</f>
        <v>0</v>
      </c>
      <c r="F151" s="216">
        <f>E151*1.302</f>
        <v>0</v>
      </c>
    </row>
    <row r="152" spans="2:6" ht="12.75">
      <c r="B152" s="197" t="s">
        <v>230</v>
      </c>
      <c r="C152" s="217">
        <f>C48</f>
        <v>5</v>
      </c>
      <c r="D152" s="217">
        <f>D48</f>
        <v>1</v>
      </c>
      <c r="E152" s="216">
        <f>C152*D152*12</f>
        <v>60</v>
      </c>
      <c r="F152" s="216">
        <f>E152</f>
        <v>60</v>
      </c>
    </row>
    <row r="153" spans="2:6" ht="12.75">
      <c r="B153" s="301" t="s">
        <v>231</v>
      </c>
      <c r="C153" s="302"/>
      <c r="D153" s="219">
        <f>D154+D155</f>
        <v>3</v>
      </c>
      <c r="E153" s="220">
        <f>E154+E155</f>
        <v>1440</v>
      </c>
      <c r="F153" s="220">
        <f>F154+F155</f>
        <v>1874.88</v>
      </c>
    </row>
    <row r="154" spans="2:6" ht="25.5">
      <c r="B154" s="193" t="str">
        <f aca="true" t="shared" si="1" ref="B154:D155">B51</f>
        <v>Рабочий птицефабрики и производственного цеха</v>
      </c>
      <c r="C154" s="217">
        <f t="shared" si="1"/>
        <v>40</v>
      </c>
      <c r="D154" s="217">
        <f t="shared" si="1"/>
        <v>2</v>
      </c>
      <c r="E154" s="216">
        <f>C154*D154*12</f>
        <v>960</v>
      </c>
      <c r="F154" s="216">
        <f>E154*1.302</f>
        <v>1249.92</v>
      </c>
    </row>
    <row r="155" spans="2:6" ht="12.75">
      <c r="B155" s="193" t="str">
        <f t="shared" si="1"/>
        <v>Водитель </v>
      </c>
      <c r="C155" s="217">
        <f t="shared" si="1"/>
        <v>40</v>
      </c>
      <c r="D155" s="217">
        <f t="shared" si="1"/>
        <v>1</v>
      </c>
      <c r="E155" s="216">
        <f>C155*D155*12</f>
        <v>480</v>
      </c>
      <c r="F155" s="216">
        <f>E155*1.302</f>
        <v>624.96</v>
      </c>
    </row>
    <row r="156" spans="2:6" ht="12.75">
      <c r="B156" s="194" t="s">
        <v>74</v>
      </c>
      <c r="C156" s="195" t="s">
        <v>30</v>
      </c>
      <c r="D156" s="195">
        <f>D153+D150</f>
        <v>4</v>
      </c>
      <c r="E156" s="216">
        <f>E150+E153</f>
        <v>1500</v>
      </c>
      <c r="F156" s="216">
        <f>F150+F153</f>
        <v>1934.88</v>
      </c>
    </row>
    <row r="157" ht="12.75"/>
    <row r="158" spans="1:2" ht="15">
      <c r="A158" s="58" t="s">
        <v>218</v>
      </c>
      <c r="B158" s="63" t="s">
        <v>341</v>
      </c>
    </row>
    <row r="159" spans="2:3" ht="12.75">
      <c r="B159" s="75" t="s">
        <v>2</v>
      </c>
      <c r="C159" s="75" t="s">
        <v>192</v>
      </c>
    </row>
    <row r="160" spans="2:3" ht="12.75">
      <c r="B160" s="275" t="s">
        <v>316</v>
      </c>
      <c r="C160" s="275"/>
    </row>
    <row r="161" spans="2:3" ht="12.75">
      <c r="B161" s="76" t="s">
        <v>317</v>
      </c>
      <c r="C161" s="221">
        <v>1.5</v>
      </c>
    </row>
    <row r="162" spans="2:3" ht="12.75">
      <c r="B162" s="76" t="s">
        <v>97</v>
      </c>
      <c r="C162" s="221">
        <f>F191</f>
        <v>330</v>
      </c>
    </row>
    <row r="163" spans="2:3" ht="12.75">
      <c r="B163" s="76" t="s">
        <v>315</v>
      </c>
      <c r="C163" s="222">
        <f>C161*C162*14*O110/1000</f>
        <v>2529.45</v>
      </c>
    </row>
    <row r="164" spans="2:3" ht="12.75">
      <c r="B164" s="76" t="s">
        <v>318</v>
      </c>
      <c r="C164" s="221">
        <v>4.36</v>
      </c>
    </row>
    <row r="165" spans="2:3" ht="25.5">
      <c r="B165" s="76" t="s">
        <v>311</v>
      </c>
      <c r="C165" s="224">
        <f>C163*C164/1000</f>
        <v>11.028402</v>
      </c>
    </row>
    <row r="166" spans="2:3" ht="12.75">
      <c r="B166" s="275" t="s">
        <v>313</v>
      </c>
      <c r="C166" s="275"/>
    </row>
    <row r="167" spans="2:3" ht="25.5">
      <c r="B167" s="76" t="s">
        <v>314</v>
      </c>
      <c r="C167" s="221">
        <v>15</v>
      </c>
    </row>
    <row r="168" spans="2:3" ht="12.75">
      <c r="B168" s="192" t="s">
        <v>315</v>
      </c>
      <c r="C168" s="223">
        <f>8*C167*O111</f>
        <v>36960</v>
      </c>
    </row>
    <row r="169" spans="2:3" ht="12.75">
      <c r="B169" s="192" t="s">
        <v>99</v>
      </c>
      <c r="C169" s="221">
        <f>C164</f>
        <v>4.36</v>
      </c>
    </row>
    <row r="170" spans="2:3" ht="12.75">
      <c r="B170" s="192" t="s">
        <v>312</v>
      </c>
      <c r="C170" s="264">
        <f>C168*C169/1000</f>
        <v>161.1456</v>
      </c>
    </row>
    <row r="171" spans="2:3" ht="12.75">
      <c r="B171" s="192" t="s">
        <v>241</v>
      </c>
      <c r="C171" s="224">
        <f>C170+C165</f>
        <v>172.174002</v>
      </c>
    </row>
    <row r="172" spans="2:4" ht="12.75">
      <c r="B172" s="263"/>
      <c r="C172" s="265"/>
      <c r="D172" s="265"/>
    </row>
    <row r="173" spans="1:2" ht="15">
      <c r="A173" s="58" t="s">
        <v>219</v>
      </c>
      <c r="B173" s="63" t="s">
        <v>307</v>
      </c>
    </row>
    <row r="174" spans="2:4" ht="25.5">
      <c r="B174" s="75" t="s">
        <v>2</v>
      </c>
      <c r="C174" s="75" t="s">
        <v>248</v>
      </c>
      <c r="D174" s="75" t="s">
        <v>249</v>
      </c>
    </row>
    <row r="175" spans="2:4" ht="12.75">
      <c r="B175" s="297" t="s">
        <v>239</v>
      </c>
      <c r="C175" s="307"/>
      <c r="D175" s="307"/>
    </row>
    <row r="176" spans="2:4" ht="25.5">
      <c r="B176" s="76" t="s">
        <v>250</v>
      </c>
      <c r="C176" s="221">
        <f>0.25/1000</f>
        <v>0.00025</v>
      </c>
      <c r="D176" s="221">
        <v>0</v>
      </c>
    </row>
    <row r="177" spans="2:4" ht="12.75">
      <c r="B177" s="76" t="s">
        <v>251</v>
      </c>
      <c r="C177" s="222">
        <f>$O$110</f>
        <v>365</v>
      </c>
      <c r="D177" s="222">
        <f>$O$110</f>
        <v>365</v>
      </c>
    </row>
    <row r="178" spans="2:4" ht="12.75">
      <c r="B178" s="76" t="s">
        <v>252</v>
      </c>
      <c r="C178" s="222">
        <f>C115+C121</f>
        <v>2000</v>
      </c>
      <c r="D178" s="222">
        <f>C178</f>
        <v>2000</v>
      </c>
    </row>
    <row r="179" spans="2:4" ht="25.5">
      <c r="B179" s="76" t="s">
        <v>253</v>
      </c>
      <c r="C179" s="223">
        <f>C176*C177*C178</f>
        <v>182.5</v>
      </c>
      <c r="D179" s="223">
        <f>D176*D177*D178</f>
        <v>0</v>
      </c>
    </row>
    <row r="180" spans="2:4" ht="12.75">
      <c r="B180" s="76" t="s">
        <v>254</v>
      </c>
      <c r="C180" s="221">
        <v>57.07</v>
      </c>
      <c r="D180" s="221">
        <v>38.51</v>
      </c>
    </row>
    <row r="181" spans="2:4" ht="25.5">
      <c r="B181" s="76" t="s">
        <v>311</v>
      </c>
      <c r="C181" s="224">
        <f>C179*C180/1000</f>
        <v>10.415275</v>
      </c>
      <c r="D181" s="224">
        <f>D179*D180/1000</f>
        <v>0</v>
      </c>
    </row>
    <row r="182" spans="2:4" ht="12.75">
      <c r="B182" s="297" t="s">
        <v>308</v>
      </c>
      <c r="C182" s="307"/>
      <c r="D182" s="307"/>
    </row>
    <row r="183" spans="2:4" ht="25.5">
      <c r="B183" s="76" t="s">
        <v>309</v>
      </c>
      <c r="C183" s="221">
        <f>3/1000</f>
        <v>0.003</v>
      </c>
      <c r="D183" s="221">
        <f>C183</f>
        <v>0.003</v>
      </c>
    </row>
    <row r="184" spans="2:4" ht="12.75">
      <c r="B184" s="192" t="s">
        <v>310</v>
      </c>
      <c r="C184" s="223">
        <f>D139+D140</f>
        <v>5000</v>
      </c>
      <c r="D184" s="223">
        <f>C184</f>
        <v>5000</v>
      </c>
    </row>
    <row r="185" spans="2:4" ht="12.75">
      <c r="B185" s="192" t="s">
        <v>99</v>
      </c>
      <c r="C185" s="221">
        <f>C180</f>
        <v>57.07</v>
      </c>
      <c r="D185" s="221">
        <f>D180</f>
        <v>38.51</v>
      </c>
    </row>
    <row r="186" spans="2:4" ht="12.75">
      <c r="B186" s="192" t="s">
        <v>312</v>
      </c>
      <c r="C186" s="264">
        <f>C183*C184*C185/1000</f>
        <v>0.85605</v>
      </c>
      <c r="D186" s="264">
        <f>D183*D184*D185/1000</f>
        <v>0.57765</v>
      </c>
    </row>
    <row r="187" spans="2:4" ht="12.75">
      <c r="B187" s="192" t="s">
        <v>241</v>
      </c>
      <c r="C187" s="224">
        <f>C186+C181</f>
        <v>11.271325</v>
      </c>
      <c r="D187" s="224">
        <f>D186+D181</f>
        <v>0.57765</v>
      </c>
    </row>
    <row r="188" ht="12.75">
      <c r="B188" s="64"/>
    </row>
    <row r="189" spans="1:2" ht="15">
      <c r="A189" s="58" t="s">
        <v>220</v>
      </c>
      <c r="B189" s="70" t="s">
        <v>257</v>
      </c>
    </row>
    <row r="190" spans="2:9" ht="60">
      <c r="B190" s="81" t="s">
        <v>94</v>
      </c>
      <c r="C190" s="81" t="s">
        <v>3</v>
      </c>
      <c r="D190" s="81" t="s">
        <v>95</v>
      </c>
      <c r="E190" s="81" t="s">
        <v>96</v>
      </c>
      <c r="F190" s="81" t="s">
        <v>97</v>
      </c>
      <c r="G190" s="81" t="s">
        <v>98</v>
      </c>
      <c r="H190" s="81" t="s">
        <v>99</v>
      </c>
      <c r="I190" s="81" t="s">
        <v>93</v>
      </c>
    </row>
    <row r="191" spans="2:11" ht="30">
      <c r="B191" s="84" t="s">
        <v>255</v>
      </c>
      <c r="C191" s="81" t="s">
        <v>256</v>
      </c>
      <c r="D191" s="81">
        <v>671</v>
      </c>
      <c r="E191" s="81">
        <v>1.04</v>
      </c>
      <c r="F191" s="81">
        <f>1000/5+1000/20+30+50</f>
        <v>330</v>
      </c>
      <c r="G191" s="225">
        <f>D191*E191*F191</f>
        <v>230287.2</v>
      </c>
      <c r="H191" s="226">
        <f>C169</f>
        <v>4.36</v>
      </c>
      <c r="I191" s="225">
        <f>G191*H191/1000</f>
        <v>1004.0521920000001</v>
      </c>
      <c r="K191" s="86"/>
    </row>
    <row r="192" spans="2:9" ht="15">
      <c r="B192" s="303" t="s">
        <v>100</v>
      </c>
      <c r="C192" s="303"/>
      <c r="D192" s="303"/>
      <c r="E192" s="303"/>
      <c r="F192" s="303"/>
      <c r="G192" s="303"/>
      <c r="H192" s="303"/>
      <c r="I192" s="303"/>
    </row>
    <row r="193" ht="12.75"/>
    <row r="194" spans="1:2" ht="15">
      <c r="A194" s="58" t="s">
        <v>221</v>
      </c>
      <c r="B194" s="70" t="s">
        <v>258</v>
      </c>
    </row>
    <row r="195" spans="2:5" ht="45">
      <c r="B195" s="81" t="s">
        <v>101</v>
      </c>
      <c r="C195" s="81" t="s">
        <v>97</v>
      </c>
      <c r="D195" s="81" t="s">
        <v>102</v>
      </c>
      <c r="E195" s="81" t="s">
        <v>93</v>
      </c>
    </row>
    <row r="196" spans="2:5" ht="15">
      <c r="B196" s="84" t="s">
        <v>103</v>
      </c>
      <c r="C196" s="227">
        <f>F191</f>
        <v>330</v>
      </c>
      <c r="D196" s="228">
        <v>0</v>
      </c>
      <c r="E196" s="227">
        <f>D196*C196/1000*12</f>
        <v>0</v>
      </c>
    </row>
    <row r="197" ht="12.75"/>
    <row r="198" spans="1:2" s="63" customFormat="1" ht="15">
      <c r="A198" s="154" t="s">
        <v>222</v>
      </c>
      <c r="B198" s="63" t="s">
        <v>342</v>
      </c>
    </row>
    <row r="199" spans="1:3" s="68" customFormat="1" ht="25.5">
      <c r="A199" s="153"/>
      <c r="B199" s="157" t="s">
        <v>2</v>
      </c>
      <c r="C199" s="157" t="s">
        <v>92</v>
      </c>
    </row>
    <row r="200" spans="2:5" ht="15" customHeight="1">
      <c r="B200" s="134" t="s">
        <v>265</v>
      </c>
      <c r="C200" s="250">
        <f>28.8*8/12+25*3/12</f>
        <v>25.45</v>
      </c>
      <c r="D200" s="64"/>
      <c r="E200" s="64"/>
    </row>
    <row r="201" spans="2:5" ht="15.75" customHeight="1">
      <c r="B201" s="134" t="s">
        <v>266</v>
      </c>
      <c r="C201" s="250">
        <f>30*6</f>
        <v>180</v>
      </c>
      <c r="D201" s="64"/>
      <c r="E201" s="64"/>
    </row>
    <row r="202" spans="2:5" ht="15.75" customHeight="1">
      <c r="B202" s="134" t="s">
        <v>344</v>
      </c>
      <c r="C202" s="250">
        <f>C200/100*C201*$O$111</f>
        <v>14109.480000000001</v>
      </c>
      <c r="D202" s="64"/>
      <c r="E202" s="64"/>
    </row>
    <row r="203" spans="2:5" ht="15.75" customHeight="1">
      <c r="B203" s="134" t="s">
        <v>267</v>
      </c>
      <c r="C203" s="250">
        <v>60</v>
      </c>
      <c r="D203" s="64"/>
      <c r="E203" s="64"/>
    </row>
    <row r="204" spans="2:5" ht="17.25" customHeight="1">
      <c r="B204" s="134" t="s">
        <v>345</v>
      </c>
      <c r="C204" s="216">
        <f>C202*C203/1000</f>
        <v>846.5688</v>
      </c>
      <c r="D204" s="64"/>
      <c r="E204" s="64"/>
    </row>
    <row r="205" ht="12.75"/>
    <row r="206" spans="1:2" ht="15">
      <c r="A206" s="58" t="s">
        <v>223</v>
      </c>
      <c r="B206" s="70" t="s">
        <v>343</v>
      </c>
    </row>
    <row r="207" spans="2:6" ht="60">
      <c r="B207" s="81" t="s">
        <v>104</v>
      </c>
      <c r="C207" s="81" t="s">
        <v>105</v>
      </c>
      <c r="D207" s="81" t="s">
        <v>106</v>
      </c>
      <c r="E207" s="81" t="s">
        <v>107</v>
      </c>
      <c r="F207" s="81" t="s">
        <v>108</v>
      </c>
    </row>
    <row r="208" spans="2:6" ht="15">
      <c r="B208" s="84" t="s">
        <v>109</v>
      </c>
      <c r="C208" s="252">
        <v>30</v>
      </c>
      <c r="D208" s="266">
        <f>1/C208</f>
        <v>0.03333333333333333</v>
      </c>
      <c r="E208" s="267">
        <f>C78</f>
        <v>3140</v>
      </c>
      <c r="F208" s="267">
        <f>D208*E208</f>
        <v>104.66666666666667</v>
      </c>
    </row>
    <row r="209" spans="2:6" ht="15">
      <c r="B209" s="84" t="s">
        <v>110</v>
      </c>
      <c r="C209" s="252">
        <v>7</v>
      </c>
      <c r="D209" s="266">
        <f>1/C209</f>
        <v>0.14285714285714285</v>
      </c>
      <c r="E209" s="267">
        <f>E97-E92</f>
        <v>2539</v>
      </c>
      <c r="F209" s="267">
        <f>D209*E209</f>
        <v>362.7142857142857</v>
      </c>
    </row>
    <row r="210" spans="2:6" ht="15">
      <c r="B210" s="84" t="s">
        <v>111</v>
      </c>
      <c r="C210" s="252">
        <v>7</v>
      </c>
      <c r="D210" s="266">
        <f>1/C210</f>
        <v>0.14285714285714285</v>
      </c>
      <c r="E210" s="268">
        <f>E93</f>
        <v>1500</v>
      </c>
      <c r="F210" s="267">
        <f>E210*D210</f>
        <v>214.28571428571428</v>
      </c>
    </row>
    <row r="211" spans="2:6" ht="15">
      <c r="B211" s="304" t="s">
        <v>11</v>
      </c>
      <c r="C211" s="305"/>
      <c r="D211" s="306"/>
      <c r="E211" s="251">
        <f>SUM(E208:E210)</f>
        <v>7179</v>
      </c>
      <c r="F211" s="251">
        <f>SUM(F208:F210)</f>
        <v>681.6666666666667</v>
      </c>
    </row>
    <row r="212" spans="2:6" ht="15">
      <c r="B212" s="85"/>
      <c r="C212" s="85"/>
      <c r="D212" s="85"/>
      <c r="E212" s="87"/>
      <c r="F212" s="87"/>
    </row>
    <row r="213" spans="1:2" ht="12.75">
      <c r="A213" s="58" t="s">
        <v>355</v>
      </c>
      <c r="B213" s="64" t="s">
        <v>346</v>
      </c>
    </row>
    <row r="214" spans="2:3" ht="38.25">
      <c r="B214" s="75" t="s">
        <v>101</v>
      </c>
      <c r="C214" s="75" t="s">
        <v>112</v>
      </c>
    </row>
    <row r="215" spans="2:3" ht="12.75">
      <c r="B215" s="269" t="s">
        <v>321</v>
      </c>
      <c r="C215" s="270">
        <f>F146</f>
        <v>8.625</v>
      </c>
    </row>
    <row r="216" spans="2:3" ht="12.75">
      <c r="B216" s="76" t="s">
        <v>113</v>
      </c>
      <c r="C216" s="196">
        <v>18</v>
      </c>
    </row>
    <row r="217" spans="2:3" ht="38.25">
      <c r="B217" s="76" t="s">
        <v>114</v>
      </c>
      <c r="C217" s="196">
        <v>24</v>
      </c>
    </row>
    <row r="218" spans="2:3" ht="38.25">
      <c r="B218" s="76" t="s">
        <v>268</v>
      </c>
      <c r="C218" s="229">
        <f>E130*0.01</f>
        <v>88.9</v>
      </c>
    </row>
    <row r="219" spans="2:3" ht="12.75">
      <c r="B219" s="76" t="s">
        <v>11</v>
      </c>
      <c r="C219" s="230">
        <f>SUM(C215:C218)</f>
        <v>139.525</v>
      </c>
    </row>
    <row r="220" ht="12.75"/>
    <row r="221" spans="1:2" ht="12.75">
      <c r="A221" s="58" t="s">
        <v>224</v>
      </c>
      <c r="B221" s="64" t="s">
        <v>358</v>
      </c>
    </row>
    <row r="222" spans="2:4" ht="12.75">
      <c r="B222" s="288" t="s">
        <v>101</v>
      </c>
      <c r="C222" s="297" t="s">
        <v>115</v>
      </c>
      <c r="D222" s="298"/>
    </row>
    <row r="223" spans="2:4" ht="25.5">
      <c r="B223" s="289"/>
      <c r="C223" s="75" t="s">
        <v>8</v>
      </c>
      <c r="D223" s="75" t="s">
        <v>347</v>
      </c>
    </row>
    <row r="224" spans="2:4" ht="12.75">
      <c r="B224" s="274" t="s">
        <v>328</v>
      </c>
      <c r="C224" s="199">
        <f>E137</f>
        <v>1149.75</v>
      </c>
      <c r="D224" s="215">
        <f>C224/$C$235*100</f>
        <v>16.447402217868863</v>
      </c>
    </row>
    <row r="225" spans="2:4" ht="12.75">
      <c r="B225" s="76" t="s">
        <v>323</v>
      </c>
      <c r="C225" s="199">
        <f>E139</f>
        <v>450</v>
      </c>
      <c r="D225" s="215">
        <f aca="true" t="shared" si="2" ref="D225:D234">C225/$C$235*100</f>
        <v>6.437339419909535</v>
      </c>
    </row>
    <row r="226" spans="2:4" ht="12.75">
      <c r="B226" s="76" t="s">
        <v>322</v>
      </c>
      <c r="C226" s="199">
        <f>E140</f>
        <v>600</v>
      </c>
      <c r="D226" s="215">
        <f t="shared" si="2"/>
        <v>8.583119226546048</v>
      </c>
    </row>
    <row r="227" spans="2:4" ht="12.75">
      <c r="B227" s="76" t="s">
        <v>116</v>
      </c>
      <c r="C227" s="199">
        <f>F156</f>
        <v>1934.88</v>
      </c>
      <c r="D227" s="215">
        <f t="shared" si="2"/>
        <v>27.678842881765693</v>
      </c>
    </row>
    <row r="228" spans="2:4" ht="12.75">
      <c r="B228" s="76" t="s">
        <v>117</v>
      </c>
      <c r="C228" s="199">
        <f>C171</f>
        <v>172.174002</v>
      </c>
      <c r="D228" s="215">
        <f t="shared" si="2"/>
        <v>2.4629833114626294</v>
      </c>
    </row>
    <row r="229" spans="2:4" ht="12.75">
      <c r="B229" s="76" t="s">
        <v>118</v>
      </c>
      <c r="C229" s="199">
        <f>C187+D187</f>
        <v>11.848975</v>
      </c>
      <c r="D229" s="215">
        <f t="shared" si="2"/>
        <v>0.16950194189560575</v>
      </c>
    </row>
    <row r="230" spans="2:4" ht="12.75">
      <c r="B230" s="76" t="s">
        <v>119</v>
      </c>
      <c r="C230" s="199">
        <f>I191</f>
        <v>1004.0521920000001</v>
      </c>
      <c r="D230" s="215">
        <f t="shared" si="2"/>
        <v>14.36316612268484</v>
      </c>
    </row>
    <row r="231" spans="2:4" ht="12.75">
      <c r="B231" s="76" t="s">
        <v>120</v>
      </c>
      <c r="C231" s="199">
        <f>E196</f>
        <v>0</v>
      </c>
      <c r="D231" s="215">
        <f t="shared" si="2"/>
        <v>0</v>
      </c>
    </row>
    <row r="232" spans="2:4" ht="12.75">
      <c r="B232" s="76" t="s">
        <v>264</v>
      </c>
      <c r="C232" s="199">
        <f>C204</f>
        <v>846.5688</v>
      </c>
      <c r="D232" s="215">
        <f t="shared" si="2"/>
        <v>12.110334906456693</v>
      </c>
    </row>
    <row r="233" spans="2:4" ht="12.75">
      <c r="B233" s="76" t="s">
        <v>31</v>
      </c>
      <c r="C233" s="199">
        <f>F211</f>
        <v>681.6666666666667</v>
      </c>
      <c r="D233" s="215">
        <f t="shared" si="2"/>
        <v>9.751377121270371</v>
      </c>
    </row>
    <row r="234" spans="2:7" ht="12.75">
      <c r="B234" s="76" t="s">
        <v>121</v>
      </c>
      <c r="C234" s="199">
        <f>C219</f>
        <v>139.525</v>
      </c>
      <c r="D234" s="215">
        <f t="shared" si="2"/>
        <v>1.9959328501397287</v>
      </c>
      <c r="F234" s="163" t="s">
        <v>325</v>
      </c>
      <c r="G234" s="163" t="s">
        <v>326</v>
      </c>
    </row>
    <row r="235" spans="2:7" ht="12.75">
      <c r="B235" s="76" t="s">
        <v>11</v>
      </c>
      <c r="C235" s="199">
        <f>SUM(C224:C234)</f>
        <v>6990.4656356666665</v>
      </c>
      <c r="D235" s="215">
        <f>SUM(D224:D234)</f>
        <v>100</v>
      </c>
      <c r="F235" s="272">
        <f>E130-C235-G282</f>
        <v>1499.5343643333335</v>
      </c>
      <c r="G235" s="273">
        <f>F235/E130*100</f>
        <v>16.86765314210724</v>
      </c>
    </row>
    <row r="236" spans="2:6" ht="12.75">
      <c r="B236" s="161"/>
      <c r="C236" s="232"/>
      <c r="D236" s="232"/>
      <c r="F236" s="231"/>
    </row>
    <row r="237" ht="17.25" customHeight="1"/>
    <row r="238" spans="1:86" s="46" customFormat="1" ht="12" customHeight="1">
      <c r="A238" s="152"/>
      <c r="B238" s="46" t="s">
        <v>122</v>
      </c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</row>
    <row r="239" ht="12.75">
      <c r="B239" s="53" t="s">
        <v>76</v>
      </c>
    </row>
    <row r="240" ht="12.75">
      <c r="B240" s="53"/>
    </row>
    <row r="241" spans="1:2" ht="17.25" customHeight="1">
      <c r="A241" s="58" t="s">
        <v>225</v>
      </c>
      <c r="B241" s="63" t="s">
        <v>123</v>
      </c>
    </row>
    <row r="242" spans="2:3" ht="12.75">
      <c r="B242" s="82" t="s">
        <v>124</v>
      </c>
      <c r="C242" s="82" t="s">
        <v>11</v>
      </c>
    </row>
    <row r="243" spans="2:3" ht="12.75">
      <c r="B243" s="89" t="s">
        <v>260</v>
      </c>
      <c r="C243" s="83"/>
    </row>
    <row r="244" spans="2:3" ht="12.75">
      <c r="B244" s="89" t="s">
        <v>259</v>
      </c>
      <c r="C244" s="238">
        <f>(E130-C235-G282)*0.06</f>
        <v>89.97206186000001</v>
      </c>
    </row>
    <row r="245" ht="12.75"/>
    <row r="246" spans="1:86" s="46" customFormat="1" ht="12" customHeight="1">
      <c r="A246" s="152"/>
      <c r="B246" s="46" t="s">
        <v>136</v>
      </c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</row>
    <row r="247" ht="12.75">
      <c r="B247" s="53" t="s">
        <v>181</v>
      </c>
    </row>
    <row r="248" ht="12.75">
      <c r="B248" s="53"/>
    </row>
    <row r="249" spans="1:2" ht="15">
      <c r="A249" s="58" t="s">
        <v>226</v>
      </c>
      <c r="B249" s="70" t="s">
        <v>349</v>
      </c>
    </row>
    <row r="250" spans="2:3" ht="25.5">
      <c r="B250" s="82" t="s">
        <v>131</v>
      </c>
      <c r="C250" s="82" t="s">
        <v>84</v>
      </c>
    </row>
    <row r="251" spans="2:3" ht="12.75">
      <c r="B251" s="82" t="s">
        <v>142</v>
      </c>
      <c r="C251" s="238">
        <f>C252+C253+C254</f>
        <v>5000</v>
      </c>
    </row>
    <row r="252" spans="1:3" s="53" customFormat="1" ht="25.5">
      <c r="A252" s="147"/>
      <c r="B252" s="95" t="s">
        <v>132</v>
      </c>
      <c r="C252" s="96">
        <v>5000</v>
      </c>
    </row>
    <row r="253" spans="1:3" s="53" customFormat="1" ht="25.5">
      <c r="A253" s="147"/>
      <c r="B253" s="95" t="s">
        <v>133</v>
      </c>
      <c r="C253" s="96"/>
    </row>
    <row r="254" spans="1:3" s="53" customFormat="1" ht="25.5">
      <c r="A254" s="147"/>
      <c r="B254" s="95" t="s">
        <v>134</v>
      </c>
      <c r="C254" s="95">
        <v>0</v>
      </c>
    </row>
    <row r="255" spans="1:3" s="53" customFormat="1" ht="27" customHeight="1">
      <c r="A255" s="147"/>
      <c r="B255" s="82" t="s">
        <v>143</v>
      </c>
      <c r="C255" s="83">
        <f>C256+C257</f>
        <v>2779</v>
      </c>
    </row>
    <row r="256" spans="1:3" s="53" customFormat="1" ht="12.75">
      <c r="A256" s="147"/>
      <c r="B256" s="95" t="s">
        <v>135</v>
      </c>
      <c r="C256" s="96">
        <f>C270-C252-C257</f>
        <v>779</v>
      </c>
    </row>
    <row r="257" spans="1:3" s="53" customFormat="1" ht="12.75">
      <c r="A257" s="147"/>
      <c r="B257" s="95" t="s">
        <v>144</v>
      </c>
      <c r="C257" s="96">
        <v>2000</v>
      </c>
    </row>
    <row r="258" spans="1:3" s="53" customFormat="1" ht="12.75">
      <c r="A258" s="147"/>
      <c r="B258" s="83" t="s">
        <v>11</v>
      </c>
      <c r="C258" s="238">
        <f>C255+C251</f>
        <v>7779</v>
      </c>
    </row>
    <row r="259" ht="12.75">
      <c r="B259" s="53"/>
    </row>
    <row r="260" spans="1:2" s="63" customFormat="1" ht="15">
      <c r="A260" s="154" t="s">
        <v>262</v>
      </c>
      <c r="B260" s="63" t="s">
        <v>350</v>
      </c>
    </row>
    <row r="261" spans="2:4" ht="38.25">
      <c r="B261" s="75" t="s">
        <v>104</v>
      </c>
      <c r="C261" s="75" t="s">
        <v>84</v>
      </c>
      <c r="D261" s="75" t="s">
        <v>125</v>
      </c>
    </row>
    <row r="262" spans="2:4" ht="12.75">
      <c r="B262" s="76" t="s">
        <v>126</v>
      </c>
      <c r="C262" s="77">
        <v>0</v>
      </c>
      <c r="D262" s="199">
        <f aca="true" t="shared" si="3" ref="D262:D269">C262/$C$270*100</f>
        <v>0</v>
      </c>
    </row>
    <row r="263" spans="2:4" ht="12.75">
      <c r="B263" s="76" t="s">
        <v>127</v>
      </c>
      <c r="C263" s="199">
        <f>C264+C265+C266</f>
        <v>7179</v>
      </c>
      <c r="D263" s="199">
        <f t="shared" si="3"/>
        <v>92.28692634014655</v>
      </c>
    </row>
    <row r="264" spans="1:4" s="53" customFormat="1" ht="12.75">
      <c r="A264" s="147"/>
      <c r="B264" s="91" t="s">
        <v>128</v>
      </c>
      <c r="C264" s="92">
        <f>C78</f>
        <v>3140</v>
      </c>
      <c r="D264" s="236">
        <f t="shared" si="3"/>
        <v>40.3650854865664</v>
      </c>
    </row>
    <row r="265" spans="1:4" s="53" customFormat="1" ht="12.75">
      <c r="A265" s="147"/>
      <c r="B265" s="91" t="s">
        <v>110</v>
      </c>
      <c r="C265" s="92">
        <f>E209</f>
        <v>2539</v>
      </c>
      <c r="D265" s="236">
        <f t="shared" si="3"/>
        <v>32.63915670394652</v>
      </c>
    </row>
    <row r="266" spans="1:4" s="53" customFormat="1" ht="25.5">
      <c r="A266" s="147"/>
      <c r="B266" s="91" t="s">
        <v>348</v>
      </c>
      <c r="C266" s="92">
        <f>E210</f>
        <v>1500</v>
      </c>
      <c r="D266" s="236">
        <f t="shared" si="3"/>
        <v>19.282684149633628</v>
      </c>
    </row>
    <row r="267" spans="2:4" ht="12.75" hidden="1">
      <c r="B267" s="76" t="s">
        <v>129</v>
      </c>
      <c r="C267" s="77"/>
      <c r="D267" s="199">
        <f t="shared" si="3"/>
        <v>0</v>
      </c>
    </row>
    <row r="268" spans="2:4" ht="12.75">
      <c r="B268" s="76" t="s">
        <v>319</v>
      </c>
      <c r="C268" s="77">
        <f>E71</f>
        <v>600</v>
      </c>
      <c r="D268" s="199">
        <f t="shared" si="3"/>
        <v>7.7130736598534515</v>
      </c>
    </row>
    <row r="269" spans="2:4" ht="12.75">
      <c r="B269" s="76" t="s">
        <v>130</v>
      </c>
      <c r="C269" s="77">
        <v>0</v>
      </c>
      <c r="D269" s="199">
        <f t="shared" si="3"/>
        <v>0</v>
      </c>
    </row>
    <row r="270" spans="2:4" ht="12.75">
      <c r="B270" s="76" t="s">
        <v>11</v>
      </c>
      <c r="C270" s="199">
        <f>C262+C263+C267+C269+C268</f>
        <v>7779</v>
      </c>
      <c r="D270" s="199">
        <f>D262+D263+D267+D269+D268</f>
        <v>100</v>
      </c>
    </row>
    <row r="271" ht="12.75"/>
    <row r="272" spans="1:2" ht="15">
      <c r="A272" s="58" t="s">
        <v>263</v>
      </c>
      <c r="B272" s="70" t="s">
        <v>351</v>
      </c>
    </row>
    <row r="273" spans="1:2" s="53" customFormat="1" ht="15">
      <c r="A273" s="147"/>
      <c r="B273" s="143" t="s">
        <v>180</v>
      </c>
    </row>
    <row r="274" spans="2:3" ht="15">
      <c r="B274" s="299" t="s">
        <v>140</v>
      </c>
      <c r="C274" s="300"/>
    </row>
    <row r="275" spans="1:3" s="64" customFormat="1" ht="15">
      <c r="A275" s="124"/>
      <c r="B275" s="94" t="s">
        <v>139</v>
      </c>
      <c r="C275" s="134">
        <v>8</v>
      </c>
    </row>
    <row r="276" spans="1:3" s="64" customFormat="1" ht="15">
      <c r="A276" s="124"/>
      <c r="B276" s="94" t="s">
        <v>138</v>
      </c>
      <c r="C276" s="134">
        <v>5</v>
      </c>
    </row>
    <row r="277" spans="1:3" s="64" customFormat="1" ht="15">
      <c r="A277" s="124"/>
      <c r="B277" s="133" t="s">
        <v>141</v>
      </c>
      <c r="C277" s="235">
        <v>9</v>
      </c>
    </row>
    <row r="278" spans="1:7" s="64" customFormat="1" ht="15" customHeight="1">
      <c r="A278" s="124"/>
      <c r="B278" s="294" t="s">
        <v>2</v>
      </c>
      <c r="C278" s="290">
        <f>D33</f>
        <v>2019</v>
      </c>
      <c r="D278" s="290"/>
      <c r="E278" s="290"/>
      <c r="F278" s="290"/>
      <c r="G278" s="290"/>
    </row>
    <row r="279" spans="1:7" s="64" customFormat="1" ht="15" customHeight="1">
      <c r="A279" s="124"/>
      <c r="B279" s="295"/>
      <c r="C279" s="123" t="s">
        <v>25</v>
      </c>
      <c r="D279" s="123" t="s">
        <v>160</v>
      </c>
      <c r="E279" s="123" t="s">
        <v>26</v>
      </c>
      <c r="F279" s="123" t="s">
        <v>27</v>
      </c>
      <c r="G279" s="286" t="s">
        <v>11</v>
      </c>
    </row>
    <row r="280" spans="1:26" s="64" customFormat="1" ht="15">
      <c r="A280" s="124"/>
      <c r="B280" s="94" t="s">
        <v>161</v>
      </c>
      <c r="C280" s="241">
        <f>SUM($C$110:$E$110)</f>
        <v>90</v>
      </c>
      <c r="D280" s="241">
        <f>SUM($F$110:$H$110)</f>
        <v>91</v>
      </c>
      <c r="E280" s="241">
        <f>SUM($I$110:$K$110)</f>
        <v>92</v>
      </c>
      <c r="F280" s="241">
        <f>SUM($L$110:$N$110)</f>
        <v>92</v>
      </c>
      <c r="G280" s="287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7" s="64" customFormat="1" ht="15">
      <c r="A281" s="124"/>
      <c r="B281" s="94" t="s">
        <v>137</v>
      </c>
      <c r="C281" s="239">
        <f>IF(D35=1,C251,0)</f>
        <v>5000</v>
      </c>
      <c r="D281" s="239">
        <f>IF(D35&lt;3,C251-C283,0)</f>
        <v>5000</v>
      </c>
      <c r="E281" s="239">
        <f>IF(E35&lt;3,C251-D283-C283,0)</f>
        <v>5000</v>
      </c>
      <c r="F281" s="239">
        <f>IF($F$35&lt;4,$C$251-$E$283-$D$283-$C$283,0)</f>
        <v>5000</v>
      </c>
      <c r="G281" s="240" t="s">
        <v>35</v>
      </c>
    </row>
    <row r="282" spans="1:7" s="64" customFormat="1" ht="15">
      <c r="A282" s="124"/>
      <c r="B282" s="94" t="s">
        <v>159</v>
      </c>
      <c r="C282" s="239">
        <f>C281*$C$275%/365*C280</f>
        <v>98.63013698630137</v>
      </c>
      <c r="D282" s="239">
        <f>D281*$C$275%/365*D280</f>
        <v>99.72602739726027</v>
      </c>
      <c r="E282" s="239">
        <f>E281*$C$275%/365*E280</f>
        <v>100.82191780821917</v>
      </c>
      <c r="F282" s="239">
        <f>F281*$C$275%/365*F280</f>
        <v>100.82191780821917</v>
      </c>
      <c r="G282" s="239">
        <f>SUM(C282:F282)</f>
        <v>399.99999999999994</v>
      </c>
    </row>
    <row r="283" spans="1:7" s="64" customFormat="1" ht="15">
      <c r="A283" s="124"/>
      <c r="B283" s="94" t="s">
        <v>29</v>
      </c>
      <c r="C283" s="239">
        <v>0</v>
      </c>
      <c r="D283" s="239">
        <f>D284-D282</f>
        <v>0</v>
      </c>
      <c r="E283" s="239">
        <f>E284-E282</f>
        <v>0</v>
      </c>
      <c r="F283" s="239">
        <f>F284-F282</f>
        <v>242.16749789506088</v>
      </c>
      <c r="G283" s="239">
        <f>SUM(C283:F283)</f>
        <v>242.16749789506088</v>
      </c>
    </row>
    <row r="284" spans="1:7" s="64" customFormat="1" ht="15">
      <c r="A284" s="124"/>
      <c r="B284" s="94" t="s">
        <v>28</v>
      </c>
      <c r="C284" s="239">
        <f>IF($C$277&gt;2,C282,C291)</f>
        <v>98.63013698630137</v>
      </c>
      <c r="D284" s="239">
        <f>IF($C$277&gt;5,D282,D291)</f>
        <v>99.72602739726027</v>
      </c>
      <c r="E284" s="239">
        <f>IF($C$277&gt;8,E282,E291)</f>
        <v>100.82191780821917</v>
      </c>
      <c r="F284" s="239">
        <f>IF($C$277&gt;11,F282,F291)</f>
        <v>342.98941570328003</v>
      </c>
      <c r="G284" s="239">
        <f>SUM(C284:F284)</f>
        <v>642.1674978950608</v>
      </c>
    </row>
    <row r="285" spans="1:7" s="64" customFormat="1" ht="15" customHeight="1">
      <c r="A285" s="124"/>
      <c r="B285" s="294" t="s">
        <v>2</v>
      </c>
      <c r="C285" s="291">
        <f>C278+1</f>
        <v>2020</v>
      </c>
      <c r="D285" s="292"/>
      <c r="E285" s="292"/>
      <c r="F285" s="292"/>
      <c r="G285" s="293"/>
    </row>
    <row r="286" spans="1:7" s="64" customFormat="1" ht="15" customHeight="1">
      <c r="A286" s="124"/>
      <c r="B286" s="295"/>
      <c r="C286" s="123" t="s">
        <v>25</v>
      </c>
      <c r="D286" s="123" t="s">
        <v>160</v>
      </c>
      <c r="E286" s="123" t="s">
        <v>26</v>
      </c>
      <c r="F286" s="123" t="s">
        <v>27</v>
      </c>
      <c r="G286" s="286" t="s">
        <v>11</v>
      </c>
    </row>
    <row r="287" spans="1:7" s="64" customFormat="1" ht="15">
      <c r="A287" s="124"/>
      <c r="B287" s="94" t="s">
        <v>161</v>
      </c>
      <c r="C287" s="243">
        <f>SUM($C$110:$E$110)</f>
        <v>90</v>
      </c>
      <c r="D287" s="243">
        <f>SUM($F$110:$H$110)</f>
        <v>91</v>
      </c>
      <c r="E287" s="243">
        <f>SUM($I$110:$K$110)</f>
        <v>92</v>
      </c>
      <c r="F287" s="243">
        <f>SUM($L$110:$N$110)</f>
        <v>92</v>
      </c>
      <c r="G287" s="287"/>
    </row>
    <row r="288" spans="1:7" s="64" customFormat="1" ht="15">
      <c r="A288" s="124"/>
      <c r="B288" s="94" t="s">
        <v>137</v>
      </c>
      <c r="C288" s="239">
        <f>IF($F$35&lt;5,C251-F283-E283-D283-C283,0)</f>
        <v>4757.8325021049395</v>
      </c>
      <c r="D288" s="239">
        <f>C288-C290</f>
        <v>4508.696220689757</v>
      </c>
      <c r="E288" s="239">
        <f>D288-D290</f>
        <v>4255.633677552563</v>
      </c>
      <c r="F288" s="239">
        <f>E288-E290</f>
        <v>3998.456491621302</v>
      </c>
      <c r="G288" s="240" t="s">
        <v>35</v>
      </c>
    </row>
    <row r="289" spans="1:7" s="64" customFormat="1" ht="15">
      <c r="A289" s="124"/>
      <c r="B289" s="94" t="s">
        <v>159</v>
      </c>
      <c r="C289" s="239">
        <f>C288*$C$275%/365*C287</f>
        <v>93.85313428809745</v>
      </c>
      <c r="D289" s="239">
        <f>D288*$C$275%/365*D287</f>
        <v>89.9268725660861</v>
      </c>
      <c r="E289" s="239">
        <f>E288*$C$275%/365*E287</f>
        <v>85.81222977201882</v>
      </c>
      <c r="F289" s="239">
        <f>F288*$C$275%/365*F287</f>
        <v>80.62641035159668</v>
      </c>
      <c r="G289" s="239">
        <f>SUM(C289:F289)</f>
        <v>350.2186469777991</v>
      </c>
    </row>
    <row r="290" spans="1:7" s="64" customFormat="1" ht="15">
      <c r="A290" s="124"/>
      <c r="B290" s="94" t="s">
        <v>29</v>
      </c>
      <c r="C290" s="239">
        <f>C291-C289</f>
        <v>249.13628141518257</v>
      </c>
      <c r="D290" s="239">
        <f>D291-D289</f>
        <v>253.06254313719393</v>
      </c>
      <c r="E290" s="239">
        <f>E291-E289</f>
        <v>257.1771859312612</v>
      </c>
      <c r="F290" s="239">
        <f>F291-F289</f>
        <v>262.36300535168334</v>
      </c>
      <c r="G290" s="239">
        <f>SUM(C290:F290)</f>
        <v>1021.739015835321</v>
      </c>
    </row>
    <row r="291" spans="1:7" s="64" customFormat="1" ht="15">
      <c r="A291" s="124"/>
      <c r="B291" s="94" t="s">
        <v>28</v>
      </c>
      <c r="C291" s="239">
        <f>IF($C$277&gt;14,C289,C298)</f>
        <v>342.98941570328003</v>
      </c>
      <c r="D291" s="244">
        <f>PMT($C$275%/4,($C$276*12-C277)/3,(-C251),0,1)</f>
        <v>342.98941570328003</v>
      </c>
      <c r="E291" s="239">
        <f>D291</f>
        <v>342.98941570328003</v>
      </c>
      <c r="F291" s="239">
        <f>E291</f>
        <v>342.98941570328003</v>
      </c>
      <c r="G291" s="239">
        <f>SUM(C291:F291)</f>
        <v>1371.9576628131201</v>
      </c>
    </row>
    <row r="292" spans="1:7" s="64" customFormat="1" ht="12.75">
      <c r="A292" s="124"/>
      <c r="B292" s="294" t="s">
        <v>2</v>
      </c>
      <c r="C292" s="290">
        <f>C285+1</f>
        <v>2021</v>
      </c>
      <c r="D292" s="290"/>
      <c r="E292" s="290"/>
      <c r="F292" s="290"/>
      <c r="G292" s="134"/>
    </row>
    <row r="293" spans="1:7" s="64" customFormat="1" ht="12.75">
      <c r="A293" s="124"/>
      <c r="B293" s="295"/>
      <c r="C293" s="123" t="s">
        <v>25</v>
      </c>
      <c r="D293" s="123" t="s">
        <v>160</v>
      </c>
      <c r="E293" s="123" t="s">
        <v>26</v>
      </c>
      <c r="F293" s="123" t="s">
        <v>27</v>
      </c>
      <c r="G293" s="286" t="s">
        <v>11</v>
      </c>
    </row>
    <row r="294" spans="1:7" s="64" customFormat="1" ht="15">
      <c r="A294" s="124"/>
      <c r="B294" s="94" t="s">
        <v>161</v>
      </c>
      <c r="C294" s="243">
        <f>SUM($C$110:$E$110)</f>
        <v>90</v>
      </c>
      <c r="D294" s="243">
        <f>SUM($F$110:$H$110)</f>
        <v>91</v>
      </c>
      <c r="E294" s="243">
        <f>SUM($I$110:$K$110)</f>
        <v>92</v>
      </c>
      <c r="F294" s="243">
        <f>SUM($L$110:$N$110)</f>
        <v>92</v>
      </c>
      <c r="G294" s="287"/>
    </row>
    <row r="295" spans="1:7" s="64" customFormat="1" ht="15">
      <c r="A295" s="124"/>
      <c r="B295" s="94" t="s">
        <v>137</v>
      </c>
      <c r="C295" s="239">
        <f>F288-F290</f>
        <v>3736.0934862696186</v>
      </c>
      <c r="D295" s="239">
        <f>C295-C297</f>
        <v>3466.8023530352184</v>
      </c>
      <c r="E295" s="239">
        <f>D295-D297</f>
        <v>3192.959022619874</v>
      </c>
      <c r="F295" s="239">
        <f>E295-E297</f>
        <v>2914.3536573453125</v>
      </c>
      <c r="G295" s="240" t="s">
        <v>35</v>
      </c>
    </row>
    <row r="296" spans="1:7" s="64" customFormat="1" ht="15">
      <c r="A296" s="124"/>
      <c r="B296" s="94" t="s">
        <v>159</v>
      </c>
      <c r="C296" s="239">
        <f>C295*$C$275%/365*C294</f>
        <v>73.69828246888014</v>
      </c>
      <c r="D296" s="239">
        <f>D295*$C$275%/365*D294</f>
        <v>69.14608528793532</v>
      </c>
      <c r="E296" s="239">
        <f>E295*$C$275%/365*E294</f>
        <v>64.38405042871855</v>
      </c>
      <c r="F296" s="239">
        <f>F295*$C$275%/365*F294</f>
        <v>58.76614498099041</v>
      </c>
      <c r="G296" s="239">
        <f>SUM(C296:F296)</f>
        <v>265.9945631665244</v>
      </c>
    </row>
    <row r="297" spans="1:7" s="64" customFormat="1" ht="15">
      <c r="A297" s="124"/>
      <c r="B297" s="94" t="s">
        <v>29</v>
      </c>
      <c r="C297" s="239">
        <f>C298-C296</f>
        <v>269.2911332343999</v>
      </c>
      <c r="D297" s="239">
        <f>D298-D296</f>
        <v>273.8433304153447</v>
      </c>
      <c r="E297" s="239">
        <f>E298-E296</f>
        <v>278.60536527456145</v>
      </c>
      <c r="F297" s="239">
        <f>F298-F296</f>
        <v>284.2232707222896</v>
      </c>
      <c r="G297" s="239">
        <f>SUM(C297:F297)</f>
        <v>1105.9630996465958</v>
      </c>
    </row>
    <row r="298" spans="1:7" s="64" customFormat="1" ht="15">
      <c r="A298" s="124"/>
      <c r="B298" s="94" t="s">
        <v>28</v>
      </c>
      <c r="C298" s="239">
        <f>F291</f>
        <v>342.98941570328003</v>
      </c>
      <c r="D298" s="239">
        <f>C298</f>
        <v>342.98941570328003</v>
      </c>
      <c r="E298" s="239">
        <f>D298</f>
        <v>342.98941570328003</v>
      </c>
      <c r="F298" s="239">
        <f>E298</f>
        <v>342.98941570328003</v>
      </c>
      <c r="G298" s="239">
        <f>SUM(C298:F298)</f>
        <v>1371.9576628131201</v>
      </c>
    </row>
    <row r="299" spans="1:7" s="64" customFormat="1" ht="12.75">
      <c r="A299" s="124"/>
      <c r="B299" s="294" t="s">
        <v>2</v>
      </c>
      <c r="C299" s="290">
        <f>C292+1</f>
        <v>2022</v>
      </c>
      <c r="D299" s="290"/>
      <c r="E299" s="290"/>
      <c r="F299" s="290"/>
      <c r="G299" s="134"/>
    </row>
    <row r="300" spans="1:7" s="64" customFormat="1" ht="12.75">
      <c r="A300" s="124"/>
      <c r="B300" s="295"/>
      <c r="C300" s="123" t="s">
        <v>25</v>
      </c>
      <c r="D300" s="123" t="s">
        <v>160</v>
      </c>
      <c r="E300" s="123" t="s">
        <v>26</v>
      </c>
      <c r="F300" s="123" t="s">
        <v>27</v>
      </c>
      <c r="G300" s="286" t="s">
        <v>11</v>
      </c>
    </row>
    <row r="301" spans="1:7" s="64" customFormat="1" ht="15">
      <c r="A301" s="124"/>
      <c r="B301" s="94" t="s">
        <v>161</v>
      </c>
      <c r="C301" s="243">
        <f>SUM($C$110:$E$110)</f>
        <v>90</v>
      </c>
      <c r="D301" s="243">
        <f>SUM($F$110:$H$110)</f>
        <v>91</v>
      </c>
      <c r="E301" s="243">
        <f>SUM($I$110:$K$110)</f>
        <v>92</v>
      </c>
      <c r="F301" s="243">
        <f>SUM($L$110:$N$110)</f>
        <v>92</v>
      </c>
      <c r="G301" s="287"/>
    </row>
    <row r="302" spans="1:7" s="64" customFormat="1" ht="15">
      <c r="A302" s="124"/>
      <c r="B302" s="94" t="s">
        <v>137</v>
      </c>
      <c r="C302" s="239">
        <f>F295-F297</f>
        <v>2630.130386623023</v>
      </c>
      <c r="D302" s="239">
        <f>C302-C304</f>
        <v>2339.0229949846353</v>
      </c>
      <c r="E302" s="239">
        <f>D302-D304</f>
        <v>2042.6858735374872</v>
      </c>
      <c r="F302" s="239">
        <f>E302-E304</f>
        <v>1740.8859592841686</v>
      </c>
      <c r="G302" s="240" t="s">
        <v>35</v>
      </c>
    </row>
    <row r="303" spans="1:7" s="64" customFormat="1" ht="15">
      <c r="A303" s="124"/>
      <c r="B303" s="94" t="s">
        <v>159</v>
      </c>
      <c r="C303" s="239">
        <f>C302*$C$275%/365*C301</f>
        <v>51.8820240648925</v>
      </c>
      <c r="D303" s="239">
        <f>D302*$C$275%/365*D301</f>
        <v>46.6522942561319</v>
      </c>
      <c r="E303" s="239">
        <f>E302*$C$275%/365*E301</f>
        <v>41.189501449961384</v>
      </c>
      <c r="F303" s="239">
        <f>F302*$C$275%/365*F301</f>
        <v>35.10389222008625</v>
      </c>
      <c r="G303" s="239">
        <f>SUM(C303:F303)</f>
        <v>174.82771199107202</v>
      </c>
    </row>
    <row r="304" spans="1:7" s="64" customFormat="1" ht="15">
      <c r="A304" s="124"/>
      <c r="B304" s="94" t="s">
        <v>29</v>
      </c>
      <c r="C304" s="239">
        <f>C305-C303</f>
        <v>291.1073916383875</v>
      </c>
      <c r="D304" s="239">
        <f>D305-D303</f>
        <v>296.33712144714815</v>
      </c>
      <c r="E304" s="239">
        <f>E305-E303</f>
        <v>301.79991425331866</v>
      </c>
      <c r="F304" s="239">
        <f>F305-F303</f>
        <v>307.88552348319377</v>
      </c>
      <c r="G304" s="239">
        <f>SUM(C304:F304)</f>
        <v>1197.1299508220482</v>
      </c>
    </row>
    <row r="305" spans="1:7" s="64" customFormat="1" ht="15">
      <c r="A305" s="124"/>
      <c r="B305" s="94" t="s">
        <v>28</v>
      </c>
      <c r="C305" s="239">
        <f>F298</f>
        <v>342.98941570328003</v>
      </c>
      <c r="D305" s="239">
        <f>C305</f>
        <v>342.98941570328003</v>
      </c>
      <c r="E305" s="239">
        <f>D305</f>
        <v>342.98941570328003</v>
      </c>
      <c r="F305" s="239">
        <f>E305</f>
        <v>342.98941570328003</v>
      </c>
      <c r="G305" s="239">
        <f>SUM(C305:F305)</f>
        <v>1371.9576628131201</v>
      </c>
    </row>
    <row r="306" spans="1:7" s="64" customFormat="1" ht="12.75">
      <c r="A306" s="124"/>
      <c r="B306" s="294" t="s">
        <v>2</v>
      </c>
      <c r="C306" s="290">
        <f>C299+1</f>
        <v>2023</v>
      </c>
      <c r="D306" s="290"/>
      <c r="E306" s="290"/>
      <c r="F306" s="290"/>
      <c r="G306" s="134"/>
    </row>
    <row r="307" spans="1:7" s="64" customFormat="1" ht="12.75">
      <c r="A307" s="124"/>
      <c r="B307" s="295"/>
      <c r="C307" s="123" t="s">
        <v>25</v>
      </c>
      <c r="D307" s="123" t="s">
        <v>160</v>
      </c>
      <c r="E307" s="123" t="s">
        <v>26</v>
      </c>
      <c r="F307" s="123" t="s">
        <v>27</v>
      </c>
      <c r="G307" s="286" t="s">
        <v>11</v>
      </c>
    </row>
    <row r="308" spans="1:7" s="64" customFormat="1" ht="15">
      <c r="A308" s="124"/>
      <c r="B308" s="94" t="s">
        <v>161</v>
      </c>
      <c r="C308" s="242">
        <f>SUM($C$110:$E$110)</f>
        <v>90</v>
      </c>
      <c r="D308" s="242">
        <f>SUM($F$110:$H$110)</f>
        <v>91</v>
      </c>
      <c r="E308" s="242">
        <f>SUM($I$110:$K$110)</f>
        <v>92</v>
      </c>
      <c r="F308" s="242">
        <f>SUM($L$110:$N$110)</f>
        <v>92</v>
      </c>
      <c r="G308" s="287"/>
    </row>
    <row r="309" spans="1:7" s="64" customFormat="1" ht="15">
      <c r="A309" s="124"/>
      <c r="B309" s="94" t="s">
        <v>137</v>
      </c>
      <c r="C309" s="239">
        <f>F302-F304</f>
        <v>1433.0004358009749</v>
      </c>
      <c r="D309" s="239">
        <f>C309-C311</f>
        <v>1118.2784259545908</v>
      </c>
      <c r="E309" s="239">
        <f>D309-D311</f>
        <v>797.5933032402133</v>
      </c>
      <c r="F309" s="239">
        <f>E309-E311</f>
        <v>470.68686482966746</v>
      </c>
      <c r="G309" s="240" t="s">
        <v>35</v>
      </c>
    </row>
    <row r="310" spans="1:7" s="64" customFormat="1" ht="15">
      <c r="A310" s="124"/>
      <c r="B310" s="94" t="s">
        <v>159</v>
      </c>
      <c r="C310" s="239">
        <f>C309*$C$275%/365*C308</f>
        <v>28.26740585689594</v>
      </c>
      <c r="D310" s="239">
        <f>D309*$C$275%/365*D308</f>
        <v>22.304292988902525</v>
      </c>
      <c r="E310" s="239">
        <f>E309*$C$275%/365*E308</f>
        <v>16.082977292734164</v>
      </c>
      <c r="F310" s="239">
        <f>F309*$C$275%/365*F308</f>
        <v>9.491110479853022</v>
      </c>
      <c r="G310" s="239">
        <f>SUM(C310:F310)</f>
        <v>76.14578661838566</v>
      </c>
    </row>
    <row r="311" spans="1:7" s="64" customFormat="1" ht="15">
      <c r="A311" s="124"/>
      <c r="B311" s="94" t="s">
        <v>29</v>
      </c>
      <c r="C311" s="239">
        <f>C312-C310</f>
        <v>314.7220098463841</v>
      </c>
      <c r="D311" s="239">
        <f>D312-D310</f>
        <v>320.6851227143775</v>
      </c>
      <c r="E311" s="239">
        <f>E312-E310</f>
        <v>326.9064384105459</v>
      </c>
      <c r="F311" s="239">
        <f>IF(C281&gt;0,F309,F312-F310)</f>
        <v>470.68686482966746</v>
      </c>
      <c r="G311" s="239">
        <f>SUM(C311:F311)</f>
        <v>1433.0004358009749</v>
      </c>
    </row>
    <row r="312" spans="1:7" s="64" customFormat="1" ht="15">
      <c r="A312" s="124"/>
      <c r="B312" s="94" t="s">
        <v>28</v>
      </c>
      <c r="C312" s="239">
        <f>F305</f>
        <v>342.98941570328003</v>
      </c>
      <c r="D312" s="239">
        <f>C312</f>
        <v>342.98941570328003</v>
      </c>
      <c r="E312" s="239">
        <f>D312</f>
        <v>342.98941570328003</v>
      </c>
      <c r="F312" s="239">
        <f>IF(F311=F309,F310+F311,E312)</f>
        <v>480.1779753095205</v>
      </c>
      <c r="G312" s="239">
        <f>SUM(C312:F312)</f>
        <v>1509.1462224193606</v>
      </c>
    </row>
    <row r="313" spans="1:7" s="64" customFormat="1" ht="12.75">
      <c r="A313" s="124"/>
      <c r="B313" s="294" t="s">
        <v>2</v>
      </c>
      <c r="C313" s="290">
        <f>C306+1</f>
        <v>2024</v>
      </c>
      <c r="D313" s="290"/>
      <c r="E313" s="290"/>
      <c r="F313" s="290"/>
      <c r="G313" s="134"/>
    </row>
    <row r="314" spans="1:7" s="64" customFormat="1" ht="12.75">
      <c r="A314" s="124"/>
      <c r="B314" s="295"/>
      <c r="C314" s="123" t="s">
        <v>25</v>
      </c>
      <c r="D314" s="123" t="s">
        <v>160</v>
      </c>
      <c r="E314" s="123" t="s">
        <v>26</v>
      </c>
      <c r="F314" s="123" t="s">
        <v>27</v>
      </c>
      <c r="G314" s="286" t="s">
        <v>11</v>
      </c>
    </row>
    <row r="315" spans="1:7" s="64" customFormat="1" ht="15">
      <c r="A315" s="124"/>
      <c r="B315" s="94" t="s">
        <v>161</v>
      </c>
      <c r="C315" s="242">
        <f>SUM($C$110:$E$110)</f>
        <v>90</v>
      </c>
      <c r="D315" s="242">
        <f>SUM($F$110:$H$110)</f>
        <v>91</v>
      </c>
      <c r="E315" s="242">
        <f>SUM($I$110:$K$110)</f>
        <v>92</v>
      </c>
      <c r="F315" s="242">
        <f>SUM($L$110:$N$110)</f>
        <v>92</v>
      </c>
      <c r="G315" s="287"/>
    </row>
    <row r="316" spans="1:7" s="64" customFormat="1" ht="15">
      <c r="A316" s="124"/>
      <c r="B316" s="94" t="s">
        <v>137</v>
      </c>
      <c r="C316" s="239">
        <f>F309-F311</f>
        <v>0</v>
      </c>
      <c r="D316" s="239">
        <f>C316-C318</f>
        <v>0</v>
      </c>
      <c r="E316" s="239">
        <f>D316-D318</f>
        <v>0</v>
      </c>
      <c r="F316" s="239">
        <f>E316-E318</f>
        <v>0</v>
      </c>
      <c r="G316" s="240" t="s">
        <v>35</v>
      </c>
    </row>
    <row r="317" spans="1:7" s="64" customFormat="1" ht="15">
      <c r="A317" s="124"/>
      <c r="B317" s="94" t="s">
        <v>159</v>
      </c>
      <c r="C317" s="239">
        <f>C316*$C$275%/365*C315</f>
        <v>0</v>
      </c>
      <c r="D317" s="239">
        <f>C316*$C$275%/365*D315</f>
        <v>0</v>
      </c>
      <c r="E317" s="239">
        <f>D316*$C$275%/365*E315</f>
        <v>0</v>
      </c>
      <c r="F317" s="239">
        <f>E316*$C$275%/365*F315</f>
        <v>0</v>
      </c>
      <c r="G317" s="239">
        <f>SUM(C317:F317)</f>
        <v>0</v>
      </c>
    </row>
    <row r="318" spans="1:7" s="64" customFormat="1" ht="15">
      <c r="A318" s="124"/>
      <c r="B318" s="94" t="s">
        <v>29</v>
      </c>
      <c r="C318" s="239">
        <f>IF(D281&gt;0,C316,C319-C317)</f>
        <v>0</v>
      </c>
      <c r="D318" s="239">
        <f>IF(E281&gt;0,D316,D319-D317)</f>
        <v>0</v>
      </c>
      <c r="E318" s="239">
        <f>IF(F281&gt;0,E316,E319-E317)</f>
        <v>0</v>
      </c>
      <c r="F318" s="239">
        <f>IF(C288&gt;0,F316,F319-F317)</f>
        <v>0</v>
      </c>
      <c r="G318" s="239">
        <f>SUM(C318:F318)</f>
        <v>0</v>
      </c>
    </row>
    <row r="319" spans="1:7" s="64" customFormat="1" ht="15">
      <c r="A319" s="124"/>
      <c r="B319" s="94" t="s">
        <v>28</v>
      </c>
      <c r="C319" s="239">
        <f>IF(C318=C316,C317+C318,B319)</f>
        <v>0</v>
      </c>
      <c r="D319" s="239">
        <f>IF(D318=D316,D317+D318,C319)</f>
        <v>0</v>
      </c>
      <c r="E319" s="239">
        <f>IF(E318=E316,E317+E318,D319)</f>
        <v>0</v>
      </c>
      <c r="F319" s="239">
        <f>IF(F318=F316,F317+F318,E319)</f>
        <v>0</v>
      </c>
      <c r="G319" s="239">
        <f>SUM(C319:F319)</f>
        <v>0</v>
      </c>
    </row>
    <row r="320" spans="2:3" ht="15">
      <c r="B320" s="94" t="s">
        <v>162</v>
      </c>
      <c r="C320" s="245">
        <f>G317+G310+G303+G296+G289+G282</f>
        <v>1267.1867087537812</v>
      </c>
    </row>
    <row r="321" spans="2:3" ht="15">
      <c r="B321" s="94" t="s">
        <v>163</v>
      </c>
      <c r="C321" s="245">
        <f>G318+G311+G304+G297+G290+G283</f>
        <v>5000</v>
      </c>
    </row>
    <row r="322" spans="2:3" ht="15">
      <c r="B322" s="94" t="s">
        <v>28</v>
      </c>
      <c r="C322" s="245">
        <f>G319+G312+G305+G298+G291+G284</f>
        <v>6267.186708753781</v>
      </c>
    </row>
    <row r="324" spans="1:86" s="46" customFormat="1" ht="12" customHeight="1">
      <c r="A324" s="152"/>
      <c r="B324" s="46" t="s">
        <v>179</v>
      </c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</row>
    <row r="325" ht="12.75">
      <c r="B325" s="53" t="s">
        <v>204</v>
      </c>
    </row>
    <row r="327" spans="1:2" s="64" customFormat="1" ht="12.75">
      <c r="A327" s="124" t="s">
        <v>269</v>
      </c>
      <c r="B327" s="64" t="s">
        <v>353</v>
      </c>
    </row>
    <row r="328" spans="1:8" s="156" customFormat="1" ht="12.75">
      <c r="A328" s="155"/>
      <c r="B328" s="157" t="s">
        <v>2</v>
      </c>
      <c r="C328" s="157">
        <f>'приложение 1'!B7</f>
        <v>2019</v>
      </c>
      <c r="D328" s="157">
        <f>C328+1</f>
        <v>2020</v>
      </c>
      <c r="E328" s="157">
        <f>D328+1</f>
        <v>2021</v>
      </c>
      <c r="F328" s="157">
        <f>E328+1</f>
        <v>2022</v>
      </c>
      <c r="G328" s="157">
        <f>F328+1</f>
        <v>2023</v>
      </c>
      <c r="H328" s="157">
        <f>G328+1</f>
        <v>2024</v>
      </c>
    </row>
    <row r="329" spans="1:8" s="156" customFormat="1" ht="12.75">
      <c r="A329" s="155"/>
      <c r="B329" s="158" t="str">
        <f>'приложение 1'!A12</f>
        <v>Выручка </v>
      </c>
      <c r="C329" s="216">
        <f>'приложение 1'!B12</f>
        <v>4100</v>
      </c>
      <c r="D329" s="216">
        <f>'приложение 1'!G12</f>
        <v>8890</v>
      </c>
      <c r="E329" s="216">
        <f>'приложение 1'!L12</f>
        <v>8890</v>
      </c>
      <c r="F329" s="216">
        <f>'приложение 1'!Q12</f>
        <v>8890</v>
      </c>
      <c r="G329" s="216">
        <f>'приложение 1'!V12</f>
        <v>8890</v>
      </c>
      <c r="H329" s="216">
        <f>'приложение 1'!AA12</f>
        <v>0</v>
      </c>
    </row>
    <row r="330" spans="1:8" s="156" customFormat="1" ht="12.75">
      <c r="A330" s="155"/>
      <c r="B330" s="158" t="str">
        <f>'приложение 1'!A16</f>
        <v>Переменные расходы</v>
      </c>
      <c r="C330" s="216">
        <f>'приложение 1'!B16</f>
        <v>1800.176044510686</v>
      </c>
      <c r="D330" s="216">
        <f>'приложение 1'!G16</f>
        <v>3230.341777</v>
      </c>
      <c r="E330" s="216">
        <f>'приложение 1'!L16</f>
        <v>3230.341777</v>
      </c>
      <c r="F330" s="216">
        <f>'приложение 1'!Q16</f>
        <v>3230.341777</v>
      </c>
      <c r="G330" s="216">
        <f>'приложение 1'!V16</f>
        <v>3230.341777</v>
      </c>
      <c r="H330" s="216">
        <f>'приложение 1'!AA16</f>
        <v>0</v>
      </c>
    </row>
    <row r="331" spans="1:8" s="156" customFormat="1" ht="12.75">
      <c r="A331" s="155"/>
      <c r="B331" s="158" t="str">
        <f>'приложение 1'!A24</f>
        <v>Валовая прибыль</v>
      </c>
      <c r="C331" s="216">
        <f aca="true" t="shared" si="4" ref="C331:H331">C329-C330</f>
        <v>2299.823955489314</v>
      </c>
      <c r="D331" s="216">
        <f t="shared" si="4"/>
        <v>5659.658223</v>
      </c>
      <c r="E331" s="216">
        <f t="shared" si="4"/>
        <v>5659.658223</v>
      </c>
      <c r="F331" s="216">
        <f t="shared" si="4"/>
        <v>5659.658223</v>
      </c>
      <c r="G331" s="216">
        <f t="shared" si="4"/>
        <v>5659.658223</v>
      </c>
      <c r="H331" s="216">
        <f t="shared" si="4"/>
        <v>0</v>
      </c>
    </row>
    <row r="332" spans="1:8" s="156" customFormat="1" ht="12.75">
      <c r="A332" s="155"/>
      <c r="B332" s="158" t="str">
        <f>'приложение 1'!A25</f>
        <v>Постоянные расходы</v>
      </c>
      <c r="C332" s="216">
        <f>'приложение 1'!B25+'приложение 1'!B33</f>
        <v>2018.9525029497718</v>
      </c>
      <c r="D332" s="216">
        <f>'приложение 1'!G25+'приложение 1'!G33</f>
        <v>4110.342505644467</v>
      </c>
      <c r="E332" s="216">
        <f>'приложение 1'!L25+'приложение 1'!L33</f>
        <v>4026.118421833192</v>
      </c>
      <c r="F332" s="216">
        <f>'приложение 1'!Q25+'приложение 1'!Q33</f>
        <v>3934.9515706577395</v>
      </c>
      <c r="G332" s="216">
        <f>'приложение 1'!V25+'приложение 1'!V33</f>
        <v>3836.269645285053</v>
      </c>
      <c r="H332" s="216">
        <f>'приложение 1'!AA25</f>
        <v>0</v>
      </c>
    </row>
    <row r="333" spans="1:8" s="156" customFormat="1" ht="29.25" customHeight="1">
      <c r="A333" s="155"/>
      <c r="B333" s="158" t="s">
        <v>188</v>
      </c>
      <c r="C333" s="216">
        <f>(C332)/(C331/C329)</f>
        <v>3599.2777805172864</v>
      </c>
      <c r="D333" s="216">
        <f>(D332)/(D331/D329)</f>
        <v>6456.3871943154445</v>
      </c>
      <c r="E333" s="216">
        <f>(E332)/(E331/E329)</f>
        <v>6324.090847861268</v>
      </c>
      <c r="F333" s="216">
        <f>(F332)/(F331/F329)</f>
        <v>6180.8890369010005</v>
      </c>
      <c r="G333" s="216">
        <f>(G332)/(G331/G329)</f>
        <v>6025.882801189091</v>
      </c>
      <c r="H333" s="216">
        <f>IF(H329=0,0,H332/((H331-#REF!)/H329))</f>
        <v>0</v>
      </c>
    </row>
    <row r="334" spans="1:8" s="156" customFormat="1" ht="12.75">
      <c r="A334" s="155"/>
      <c r="B334" s="158" t="s">
        <v>189</v>
      </c>
      <c r="C334" s="216">
        <f aca="true" t="shared" si="5" ref="C334:H334">C329-C333</f>
        <v>500.7222194827136</v>
      </c>
      <c r="D334" s="216">
        <f t="shared" si="5"/>
        <v>2433.6128056845555</v>
      </c>
      <c r="E334" s="216">
        <f t="shared" si="5"/>
        <v>2565.9091521387318</v>
      </c>
      <c r="F334" s="216">
        <f t="shared" si="5"/>
        <v>2709.1109630989995</v>
      </c>
      <c r="G334" s="216">
        <f t="shared" si="5"/>
        <v>2864.117198810909</v>
      </c>
      <c r="H334" s="216">
        <f t="shared" si="5"/>
        <v>0</v>
      </c>
    </row>
    <row r="335" spans="1:8" s="156" customFormat="1" ht="25.5">
      <c r="A335" s="155"/>
      <c r="B335" s="158" t="s">
        <v>190</v>
      </c>
      <c r="C335" s="246">
        <f>100-C333*100/C329</f>
        <v>12.21273706055399</v>
      </c>
      <c r="D335" s="246">
        <f>100-D333*100/D329</f>
        <v>27.374722223673288</v>
      </c>
      <c r="E335" s="246">
        <f>100-E333*100/E329</f>
        <v>28.862870102797885</v>
      </c>
      <c r="F335" s="246">
        <f>100-F333*100/F329</f>
        <v>30.473689123723275</v>
      </c>
      <c r="G335" s="246">
        <f>100-G333*100/G329</f>
        <v>32.21729132520707</v>
      </c>
      <c r="H335" s="246">
        <f>IF(H329=0,0,100-H333*100/H329)</f>
        <v>0</v>
      </c>
    </row>
    <row r="336" s="64" customFormat="1" ht="12.75">
      <c r="A336" s="124"/>
    </row>
    <row r="337" spans="1:2" s="64" customFormat="1" ht="12.75">
      <c r="A337" s="124" t="s">
        <v>356</v>
      </c>
      <c r="B337" s="64" t="s">
        <v>352</v>
      </c>
    </row>
    <row r="338" spans="2:9" s="124" customFormat="1" ht="12.75" hidden="1" outlineLevel="1">
      <c r="B338" s="124" t="s">
        <v>2</v>
      </c>
      <c r="C338" s="308">
        <f>C328</f>
        <v>2019</v>
      </c>
      <c r="D338" s="308"/>
      <c r="E338" s="124">
        <f>D328</f>
        <v>2020</v>
      </c>
      <c r="F338" s="124">
        <f>E328</f>
        <v>2021</v>
      </c>
      <c r="G338" s="124">
        <f>F328</f>
        <v>2022</v>
      </c>
      <c r="H338" s="124">
        <f>G328</f>
        <v>2023</v>
      </c>
      <c r="I338" s="124">
        <f>H328</f>
        <v>2024</v>
      </c>
    </row>
    <row r="339" spans="1:9" s="64" customFormat="1" ht="12.75" hidden="1" outlineLevel="1">
      <c r="A339" s="124"/>
      <c r="B339" s="64" t="s">
        <v>201</v>
      </c>
      <c r="C339" s="159">
        <f>'приложение 2'!B23</f>
        <v>-7779</v>
      </c>
      <c r="D339" s="159">
        <f>'приложение 2'!B16/((1+C275/100)^1)</f>
        <v>746.7558651267976</v>
      </c>
      <c r="E339" s="159">
        <f>'приложение 2'!G16/((1+C275/100)^2)</f>
        <v>2133.26653631573</v>
      </c>
      <c r="F339" s="159">
        <f>'приложение 2'!L16/((1+C275/100)^3)</f>
        <v>1971.2352052929486</v>
      </c>
      <c r="G339" s="159">
        <f>'приложение 2'!Q16/((1+C275/100)^4)</f>
        <v>1821.1971612466914</v>
      </c>
      <c r="H339" s="159">
        <f>'приложение 2'!V16/((1+C275/100)^4)</f>
        <v>1816.84511158187</v>
      </c>
      <c r="I339" s="159">
        <f>'приложение 2'!AA16/((1+C275/100)^6)</f>
        <v>0</v>
      </c>
    </row>
    <row r="340" spans="1:9" s="64" customFormat="1" ht="12.75" hidden="1" outlineLevel="1">
      <c r="A340" s="124"/>
      <c r="B340" s="64" t="s">
        <v>202</v>
      </c>
      <c r="C340" s="159">
        <f>C339</f>
        <v>-7779</v>
      </c>
      <c r="D340" s="159">
        <f aca="true" t="shared" si="6" ref="D340:I340">C340+D339</f>
        <v>-7032.244134873203</v>
      </c>
      <c r="E340" s="159">
        <f t="shared" si="6"/>
        <v>-4898.977598557472</v>
      </c>
      <c r="F340" s="159">
        <f t="shared" si="6"/>
        <v>-2927.742393264524</v>
      </c>
      <c r="G340" s="159">
        <f t="shared" si="6"/>
        <v>-1106.5452320178324</v>
      </c>
      <c r="H340" s="159">
        <f t="shared" si="6"/>
        <v>710.2998795640376</v>
      </c>
      <c r="I340" s="159">
        <f t="shared" si="6"/>
        <v>710.2998795640376</v>
      </c>
    </row>
    <row r="341" spans="1:8" s="161" customFormat="1" ht="25.5" collapsed="1">
      <c r="A341" s="160"/>
      <c r="B341" s="75" t="s">
        <v>2</v>
      </c>
      <c r="C341" s="166" t="s">
        <v>192</v>
      </c>
      <c r="D341" s="166" t="s">
        <v>3</v>
      </c>
      <c r="E341" s="166" t="s">
        <v>195</v>
      </c>
      <c r="F341" s="162"/>
      <c r="G341" s="162"/>
      <c r="H341" s="162"/>
    </row>
    <row r="342" spans="1:8" s="161" customFormat="1" ht="12.75">
      <c r="A342" s="160"/>
      <c r="B342" s="76" t="s">
        <v>191</v>
      </c>
      <c r="C342" s="218">
        <f>SUM(C339:I339)</f>
        <v>710.2998795640376</v>
      </c>
      <c r="D342" s="166" t="str">
        <f>D24</f>
        <v>тыс. руб.</v>
      </c>
      <c r="E342" s="167" t="s">
        <v>196</v>
      </c>
      <c r="F342" s="162"/>
      <c r="G342" s="162"/>
      <c r="H342" s="162"/>
    </row>
    <row r="343" spans="1:5" s="161" customFormat="1" ht="12.75">
      <c r="A343" s="160"/>
      <c r="B343" s="76" t="s">
        <v>0</v>
      </c>
      <c r="C343" s="247">
        <f>SUM(D339:H339)/(-C339)</f>
        <v>1.0913099215277076</v>
      </c>
      <c r="D343" s="75" t="s">
        <v>30</v>
      </c>
      <c r="E343" s="157" t="s">
        <v>197</v>
      </c>
    </row>
    <row r="344" spans="1:5" s="161" customFormat="1" ht="25.5">
      <c r="A344" s="160"/>
      <c r="B344" s="76" t="s">
        <v>1</v>
      </c>
      <c r="C344" s="248">
        <f>IRR(C339:I339)</f>
        <v>0.027743003055486604</v>
      </c>
      <c r="D344" s="75" t="s">
        <v>33</v>
      </c>
      <c r="E344" s="157" t="s">
        <v>198</v>
      </c>
    </row>
    <row r="345" spans="1:5" s="64" customFormat="1" ht="25.5" customHeight="1">
      <c r="A345" s="124"/>
      <c r="B345" s="310" t="s">
        <v>203</v>
      </c>
      <c r="C345" s="249">
        <f>(-C339)/AVERAGE(D339:H339)</f>
        <v>4.581649906564194</v>
      </c>
      <c r="D345" s="123" t="s">
        <v>34</v>
      </c>
      <c r="E345" s="309" t="s">
        <v>200</v>
      </c>
    </row>
    <row r="346" spans="2:5" ht="25.5" customHeight="1">
      <c r="B346" s="310"/>
      <c r="C346" s="239">
        <f>C345*12</f>
        <v>54.979798878770325</v>
      </c>
      <c r="D346" s="123" t="s">
        <v>199</v>
      </c>
      <c r="E346" s="309"/>
    </row>
    <row r="347" spans="1:9" s="164" customFormat="1" ht="12.75" hidden="1" outlineLevel="1">
      <c r="A347" s="163"/>
      <c r="D347" s="165">
        <f>IF(D340&gt;0,(-C340)/D340,1)</f>
        <v>1</v>
      </c>
      <c r="E347" s="164">
        <f>IF(E340&gt;0,0,1)</f>
        <v>1</v>
      </c>
      <c r="F347" s="164">
        <f>IF(F340&gt;0,0,1)</f>
        <v>1</v>
      </c>
      <c r="G347" s="164">
        <f>IF(G340&gt;0,0,1)</f>
        <v>1</v>
      </c>
      <c r="H347" s="164">
        <f>IF(H340&gt;0,0,1)</f>
        <v>0</v>
      </c>
      <c r="I347" s="164">
        <f>IF(I340&gt;0,0,1)</f>
        <v>0</v>
      </c>
    </row>
    <row r="348" ht="12.75" hidden="1" outlineLevel="1"/>
    <row r="349" ht="12.75" collapsed="1"/>
  </sheetData>
  <sheetProtection/>
  <mergeCells count="47">
    <mergeCell ref="C338:D338"/>
    <mergeCell ref="E345:E346"/>
    <mergeCell ref="B345:B346"/>
    <mergeCell ref="B97:D97"/>
    <mergeCell ref="B153:C153"/>
    <mergeCell ref="B313:B314"/>
    <mergeCell ref="C313:F313"/>
    <mergeCell ref="B306:B307"/>
    <mergeCell ref="F144:F145"/>
    <mergeCell ref="B175:D175"/>
    <mergeCell ref="B141:D141"/>
    <mergeCell ref="C222:D222"/>
    <mergeCell ref="B274:C274"/>
    <mergeCell ref="B150:C150"/>
    <mergeCell ref="B192:I192"/>
    <mergeCell ref="B211:D211"/>
    <mergeCell ref="B144:B145"/>
    <mergeCell ref="E144:E145"/>
    <mergeCell ref="B182:D182"/>
    <mergeCell ref="B160:C160"/>
    <mergeCell ref="C144:D144"/>
    <mergeCell ref="G314:G315"/>
    <mergeCell ref="B285:B286"/>
    <mergeCell ref="B278:B279"/>
    <mergeCell ref="B292:B293"/>
    <mergeCell ref="C292:F292"/>
    <mergeCell ref="G300:G301"/>
    <mergeCell ref="B299:B300"/>
    <mergeCell ref="C299:F299"/>
    <mergeCell ref="G293:G294"/>
    <mergeCell ref="G307:G308"/>
    <mergeCell ref="B222:B223"/>
    <mergeCell ref="G279:G280"/>
    <mergeCell ref="C278:G278"/>
    <mergeCell ref="C285:G285"/>
    <mergeCell ref="G286:G287"/>
    <mergeCell ref="C306:F306"/>
    <mergeCell ref="B166:C166"/>
    <mergeCell ref="B46:C46"/>
    <mergeCell ref="B50:C50"/>
    <mergeCell ref="B82:D82"/>
    <mergeCell ref="B88:D88"/>
    <mergeCell ref="B90:D90"/>
    <mergeCell ref="B94:D94"/>
    <mergeCell ref="B95:D95"/>
    <mergeCell ref="B92:D92"/>
    <mergeCell ref="B96:D96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P48"/>
  <sheetViews>
    <sheetView showZeros="0" zoomScale="70" zoomScaleNormal="70" zoomScalePageLayoutView="0" workbookViewId="0" topLeftCell="A1">
      <pane xSplit="1" ySplit="11" topLeftCell="Q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AF36"/>
    </sheetView>
  </sheetViews>
  <sheetFormatPr defaultColWidth="9.140625" defaultRowHeight="12.75" outlineLevelRow="1"/>
  <cols>
    <col min="1" max="1" width="43.8515625" style="2" customWidth="1"/>
    <col min="2" max="2" width="10.28125" style="1" customWidth="1"/>
    <col min="3" max="3" width="8.28125" style="1" customWidth="1"/>
    <col min="4" max="4" width="9.57421875" style="1" customWidth="1"/>
    <col min="5" max="5" width="9.00390625" style="1" customWidth="1"/>
    <col min="6" max="6" width="8.7109375" style="1" customWidth="1"/>
    <col min="7" max="7" width="9.00390625" style="10" customWidth="1"/>
    <col min="8" max="8" width="8.140625" style="10" customWidth="1"/>
    <col min="9" max="9" width="8.57421875" style="10" customWidth="1"/>
    <col min="10" max="13" width="8.421875" style="10" customWidth="1"/>
    <col min="14" max="14" width="9.8515625" style="10" customWidth="1"/>
    <col min="15" max="15" width="8.8515625" style="10" customWidth="1"/>
    <col min="16" max="16" width="9.00390625" style="10" customWidth="1"/>
    <col min="17" max="17" width="11.140625" style="10" customWidth="1"/>
    <col min="18" max="18" width="9.57421875" style="10" customWidth="1"/>
    <col min="19" max="19" width="10.00390625" style="10" customWidth="1"/>
    <col min="20" max="20" width="8.421875" style="10" customWidth="1"/>
    <col min="21" max="21" width="9.57421875" style="10" customWidth="1"/>
    <col min="22" max="26" width="10.140625" style="10" customWidth="1"/>
    <col min="27" max="31" width="10.140625" style="10" hidden="1" customWidth="1"/>
    <col min="32" max="32" width="9.140625" style="10" customWidth="1"/>
    <col min="33" max="33" width="9.140625" style="182" customWidth="1"/>
    <col min="34" max="36" width="10.28125" style="182" bestFit="1" customWidth="1"/>
    <col min="37" max="40" width="9.140625" style="182" customWidth="1"/>
    <col min="41" max="42" width="9.140625" style="121" customWidth="1"/>
    <col min="43" max="94" width="9.140625" style="180" customWidth="1"/>
    <col min="95" max="16384" width="9.140625" style="1" customWidth="1"/>
  </cols>
  <sheetData>
    <row r="1" spans="1:40" s="100" customFormat="1" ht="18">
      <c r="A1" s="112"/>
      <c r="B1" s="113" t="str">
        <f>'таблицы в текст'!B1</f>
        <v>НАЗВАНИЕ ПРОЕКТА:</v>
      </c>
      <c r="C1" s="114"/>
      <c r="D1" s="114"/>
      <c r="E1" s="45" t="str">
        <f>'таблицы в текст'!C1</f>
        <v>Бизнес-план организации деятельности по разведению кур в п. ХХХ ХХХ района Республики Саха (Якутия)</v>
      </c>
      <c r="AG1" s="181"/>
      <c r="AH1" s="181"/>
      <c r="AI1" s="181"/>
      <c r="AJ1" s="181"/>
      <c r="AK1" s="181"/>
      <c r="AL1" s="181"/>
      <c r="AM1" s="181"/>
      <c r="AN1" s="181"/>
    </row>
    <row r="3" spans="1:94" s="3" customFormat="1" ht="20.25">
      <c r="A3" s="115" t="s">
        <v>145</v>
      </c>
      <c r="B3" s="116"/>
      <c r="C3" s="116"/>
      <c r="D3" s="117"/>
      <c r="E3" s="117"/>
      <c r="F3" s="117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82"/>
      <c r="AH3" s="182"/>
      <c r="AI3" s="182"/>
      <c r="AJ3" s="182"/>
      <c r="AK3" s="182"/>
      <c r="AL3" s="182"/>
      <c r="AM3" s="182"/>
      <c r="AN3" s="182"/>
      <c r="AO3" s="121"/>
      <c r="AP3" s="121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82"/>
      <c r="AH4" s="182"/>
      <c r="AI4" s="182"/>
      <c r="AJ4" s="182"/>
      <c r="AK4" s="182"/>
      <c r="AL4" s="182"/>
      <c r="AM4" s="182"/>
      <c r="AN4" s="182"/>
      <c r="AO4" s="121"/>
      <c r="AP4" s="121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3" customFormat="1" ht="18.75">
      <c r="A5" s="102" t="s">
        <v>148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82"/>
      <c r="AH5" s="182"/>
      <c r="AI5" s="182"/>
      <c r="AJ5" s="182"/>
      <c r="AK5" s="182"/>
      <c r="AL5" s="182"/>
      <c r="AM5" s="182"/>
      <c r="AN5" s="182"/>
      <c r="AO5" s="121"/>
      <c r="AP5" s="121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42" s="4" customFormat="1" ht="18.75">
      <c r="A6" s="119"/>
      <c r="D6" s="120"/>
      <c r="E6" s="120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82"/>
      <c r="AH6" s="182"/>
      <c r="AI6" s="182"/>
      <c r="AJ6" s="182"/>
      <c r="AK6" s="182"/>
      <c r="AL6" s="182"/>
      <c r="AM6" s="182"/>
      <c r="AN6" s="182"/>
      <c r="AO6" s="121"/>
      <c r="AP6" s="121"/>
    </row>
    <row r="7" spans="1:94" s="8" customFormat="1" ht="12.75">
      <c r="A7" s="312" t="s">
        <v>5</v>
      </c>
      <c r="B7" s="312">
        <f>'таблицы в текст'!D33</f>
        <v>2019</v>
      </c>
      <c r="C7" s="312"/>
      <c r="D7" s="312"/>
      <c r="E7" s="312"/>
      <c r="F7" s="312"/>
      <c r="G7" s="312">
        <f>B7+1</f>
        <v>2020</v>
      </c>
      <c r="H7" s="312"/>
      <c r="I7" s="312"/>
      <c r="J7" s="312"/>
      <c r="K7" s="312"/>
      <c r="L7" s="312">
        <f>G7+1</f>
        <v>2021</v>
      </c>
      <c r="M7" s="312"/>
      <c r="N7" s="312"/>
      <c r="O7" s="312"/>
      <c r="P7" s="312"/>
      <c r="Q7" s="312">
        <f>L7+1</f>
        <v>2022</v>
      </c>
      <c r="R7" s="312"/>
      <c r="S7" s="312"/>
      <c r="T7" s="312"/>
      <c r="U7" s="312"/>
      <c r="V7" s="313">
        <f>Q7+1</f>
        <v>2023</v>
      </c>
      <c r="W7" s="314"/>
      <c r="X7" s="314"/>
      <c r="Y7" s="314"/>
      <c r="Z7" s="315"/>
      <c r="AA7" s="130"/>
      <c r="AB7" s="313">
        <f>V7+1</f>
        <v>2024</v>
      </c>
      <c r="AC7" s="314"/>
      <c r="AD7" s="314"/>
      <c r="AE7" s="315"/>
      <c r="AF7" s="312" t="s">
        <v>10</v>
      </c>
      <c r="AG7" s="175"/>
      <c r="AH7" s="175"/>
      <c r="AI7" s="175"/>
      <c r="AJ7" s="175"/>
      <c r="AK7" s="175"/>
      <c r="AL7" s="175"/>
      <c r="AM7" s="175"/>
      <c r="AN7" s="175"/>
      <c r="AO7" s="11"/>
      <c r="AP7" s="11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s="8" customFormat="1" ht="12.75">
      <c r="A8" s="312"/>
      <c r="B8" s="312" t="s">
        <v>6</v>
      </c>
      <c r="C8" s="312" t="s">
        <v>7</v>
      </c>
      <c r="D8" s="312"/>
      <c r="E8" s="312"/>
      <c r="F8" s="312"/>
      <c r="G8" s="312" t="s">
        <v>6</v>
      </c>
      <c r="H8" s="312"/>
      <c r="I8" s="312"/>
      <c r="J8" s="312"/>
      <c r="K8" s="312"/>
      <c r="L8" s="312" t="s">
        <v>6</v>
      </c>
      <c r="M8" s="312"/>
      <c r="N8" s="312"/>
      <c r="O8" s="312"/>
      <c r="P8" s="312"/>
      <c r="Q8" s="312" t="s">
        <v>6</v>
      </c>
      <c r="R8" s="312"/>
      <c r="S8" s="312"/>
      <c r="T8" s="312"/>
      <c r="U8" s="312"/>
      <c r="V8" s="312" t="s">
        <v>6</v>
      </c>
      <c r="W8" s="312"/>
      <c r="X8" s="312"/>
      <c r="Y8" s="20"/>
      <c r="Z8" s="20"/>
      <c r="AA8" s="316"/>
      <c r="AB8" s="20"/>
      <c r="AC8" s="20"/>
      <c r="AD8" s="20"/>
      <c r="AE8" s="20"/>
      <c r="AF8" s="312"/>
      <c r="AG8" s="175"/>
      <c r="AH8" s="175"/>
      <c r="AI8" s="175"/>
      <c r="AJ8" s="175"/>
      <c r="AK8" s="175"/>
      <c r="AL8" s="175"/>
      <c r="AM8" s="175"/>
      <c r="AN8" s="175"/>
      <c r="AO8" s="11"/>
      <c r="AP8" s="11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s="8" customFormat="1" ht="12.75">
      <c r="A9" s="312"/>
      <c r="B9" s="312"/>
      <c r="C9" s="20">
        <v>1</v>
      </c>
      <c r="D9" s="20">
        <v>2</v>
      </c>
      <c r="E9" s="20">
        <v>3</v>
      </c>
      <c r="F9" s="20">
        <v>4</v>
      </c>
      <c r="G9" s="312"/>
      <c r="H9" s="20">
        <f aca="true" t="shared" si="0" ref="H9:K10">C9</f>
        <v>1</v>
      </c>
      <c r="I9" s="20">
        <f t="shared" si="0"/>
        <v>2</v>
      </c>
      <c r="J9" s="20">
        <f t="shared" si="0"/>
        <v>3</v>
      </c>
      <c r="K9" s="20">
        <f t="shared" si="0"/>
        <v>4</v>
      </c>
      <c r="L9" s="312"/>
      <c r="M9" s="20">
        <f aca="true" t="shared" si="1" ref="M9:P10">H9</f>
        <v>1</v>
      </c>
      <c r="N9" s="20">
        <f t="shared" si="1"/>
        <v>2</v>
      </c>
      <c r="O9" s="20">
        <f t="shared" si="1"/>
        <v>3</v>
      </c>
      <c r="P9" s="20">
        <f t="shared" si="1"/>
        <v>4</v>
      </c>
      <c r="Q9" s="312"/>
      <c r="R9" s="20">
        <f aca="true" t="shared" si="2" ref="R9:U10">M9</f>
        <v>1</v>
      </c>
      <c r="S9" s="20">
        <f t="shared" si="2"/>
        <v>2</v>
      </c>
      <c r="T9" s="20">
        <f t="shared" si="2"/>
        <v>3</v>
      </c>
      <c r="U9" s="20">
        <f t="shared" si="2"/>
        <v>4</v>
      </c>
      <c r="V9" s="312"/>
      <c r="W9" s="20">
        <f aca="true" t="shared" si="3" ref="W9:Z10">R9</f>
        <v>1</v>
      </c>
      <c r="X9" s="20">
        <f t="shared" si="3"/>
        <v>2</v>
      </c>
      <c r="Y9" s="20">
        <f t="shared" si="3"/>
        <v>3</v>
      </c>
      <c r="Z9" s="20">
        <f t="shared" si="3"/>
        <v>4</v>
      </c>
      <c r="AA9" s="317"/>
      <c r="AB9" s="20">
        <f>W9</f>
        <v>1</v>
      </c>
      <c r="AC9" s="20">
        <f aca="true" t="shared" si="4" ref="AC9:AE11">X9</f>
        <v>2</v>
      </c>
      <c r="AD9" s="20">
        <f t="shared" si="4"/>
        <v>3</v>
      </c>
      <c r="AE9" s="20">
        <f t="shared" si="4"/>
        <v>4</v>
      </c>
      <c r="AF9" s="312"/>
      <c r="AG9" s="175"/>
      <c r="AH9" s="175"/>
      <c r="AI9" s="175"/>
      <c r="AJ9" s="175"/>
      <c r="AK9" s="175"/>
      <c r="AL9" s="175"/>
      <c r="AM9" s="175"/>
      <c r="AN9" s="175"/>
      <c r="AO9" s="11"/>
      <c r="AP9" s="11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8" customFormat="1" ht="12.75" hidden="1">
      <c r="A10" s="20"/>
      <c r="B10" s="20">
        <f>SUM(C10:F10)</f>
        <v>308</v>
      </c>
      <c r="C10" s="20">
        <f>SUM('таблицы в текст'!C111:E111)</f>
        <v>73</v>
      </c>
      <c r="D10" s="20">
        <f>SUM('таблицы в текст'!F111:H111)</f>
        <v>78</v>
      </c>
      <c r="E10" s="20">
        <f>SUM('таблицы в текст'!I111:K111)</f>
        <v>79</v>
      </c>
      <c r="F10" s="20">
        <f>SUM('таблицы в текст'!L111:N111)</f>
        <v>78</v>
      </c>
      <c r="G10" s="20">
        <f>SUM(H10:K10)</f>
        <v>308</v>
      </c>
      <c r="H10" s="20">
        <f t="shared" si="0"/>
        <v>73</v>
      </c>
      <c r="I10" s="20">
        <f t="shared" si="0"/>
        <v>78</v>
      </c>
      <c r="J10" s="20">
        <f t="shared" si="0"/>
        <v>79</v>
      </c>
      <c r="K10" s="20">
        <f t="shared" si="0"/>
        <v>78</v>
      </c>
      <c r="L10" s="20">
        <f>SUM(M10:P10)</f>
        <v>308</v>
      </c>
      <c r="M10" s="20">
        <f t="shared" si="1"/>
        <v>73</v>
      </c>
      <c r="N10" s="20">
        <f t="shared" si="1"/>
        <v>78</v>
      </c>
      <c r="O10" s="20">
        <f t="shared" si="1"/>
        <v>79</v>
      </c>
      <c r="P10" s="20">
        <f t="shared" si="1"/>
        <v>78</v>
      </c>
      <c r="Q10" s="20">
        <f>SUM(R10:U10)</f>
        <v>308</v>
      </c>
      <c r="R10" s="20">
        <f t="shared" si="2"/>
        <v>73</v>
      </c>
      <c r="S10" s="20">
        <f t="shared" si="2"/>
        <v>78</v>
      </c>
      <c r="T10" s="20">
        <f t="shared" si="2"/>
        <v>79</v>
      </c>
      <c r="U10" s="20">
        <f t="shared" si="2"/>
        <v>78</v>
      </c>
      <c r="V10" s="20">
        <f>SUM(W10:Z10)</f>
        <v>308</v>
      </c>
      <c r="W10" s="20">
        <f t="shared" si="3"/>
        <v>73</v>
      </c>
      <c r="X10" s="20">
        <f t="shared" si="3"/>
        <v>78</v>
      </c>
      <c r="Y10" s="20">
        <f t="shared" si="3"/>
        <v>79</v>
      </c>
      <c r="Z10" s="20">
        <f t="shared" si="3"/>
        <v>78</v>
      </c>
      <c r="AA10" s="20"/>
      <c r="AB10" s="20">
        <f>W10</f>
        <v>73</v>
      </c>
      <c r="AC10" s="20">
        <f t="shared" si="4"/>
        <v>78</v>
      </c>
      <c r="AD10" s="20">
        <f t="shared" si="4"/>
        <v>79</v>
      </c>
      <c r="AE10" s="20">
        <f t="shared" si="4"/>
        <v>78</v>
      </c>
      <c r="AF10" s="20"/>
      <c r="AG10" s="175"/>
      <c r="AH10" s="175"/>
      <c r="AI10" s="175"/>
      <c r="AJ10" s="175"/>
      <c r="AK10" s="175"/>
      <c r="AL10" s="175"/>
      <c r="AM10" s="175"/>
      <c r="AN10" s="175"/>
      <c r="AO10" s="11"/>
      <c r="AP10" s="11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1:94" s="129" customFormat="1" ht="15" customHeight="1" hidden="1">
      <c r="A11" s="127"/>
      <c r="B11" s="127"/>
      <c r="C11" s="127"/>
      <c r="D11" s="127"/>
      <c r="E11" s="127"/>
      <c r="F11" s="127"/>
      <c r="G11" s="127"/>
      <c r="H11" s="128">
        <f>'таблицы в текст'!B107</f>
        <v>0</v>
      </c>
      <c r="I11" s="128">
        <f>H11</f>
        <v>0</v>
      </c>
      <c r="J11" s="128">
        <f>I11</f>
        <v>0</v>
      </c>
      <c r="K11" s="128">
        <f>J11</f>
        <v>0</v>
      </c>
      <c r="L11" s="127"/>
      <c r="M11" s="128">
        <f>'таблицы в текст'!C107</f>
        <v>0</v>
      </c>
      <c r="N11" s="128">
        <f>M11</f>
        <v>0</v>
      </c>
      <c r="O11" s="128">
        <f>N11</f>
        <v>0</v>
      </c>
      <c r="P11" s="128">
        <f>O11</f>
        <v>0</v>
      </c>
      <c r="Q11" s="127"/>
      <c r="R11" s="128">
        <f>'таблицы в текст'!D107</f>
        <v>0</v>
      </c>
      <c r="S11" s="128">
        <f>R11</f>
        <v>0</v>
      </c>
      <c r="T11" s="128">
        <f>S11</f>
        <v>0</v>
      </c>
      <c r="U11" s="128">
        <f>T11</f>
        <v>0</v>
      </c>
      <c r="V11" s="127"/>
      <c r="W11" s="128">
        <f>'таблицы в текст'!E107</f>
        <v>0</v>
      </c>
      <c r="X11" s="128">
        <f>W11</f>
        <v>0</v>
      </c>
      <c r="Y11" s="128">
        <f>X11</f>
        <v>0</v>
      </c>
      <c r="Z11" s="128">
        <f>Y11</f>
        <v>0</v>
      </c>
      <c r="AA11" s="128"/>
      <c r="AB11" s="126">
        <f>W11</f>
        <v>0</v>
      </c>
      <c r="AC11" s="126">
        <f t="shared" si="4"/>
        <v>0</v>
      </c>
      <c r="AD11" s="126">
        <f t="shared" si="4"/>
        <v>0</v>
      </c>
      <c r="AE11" s="126">
        <f t="shared" si="4"/>
        <v>0</v>
      </c>
      <c r="AF11" s="127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</row>
    <row r="12" spans="1:94" s="8" customFormat="1" ht="15" customHeight="1">
      <c r="A12" s="12" t="s">
        <v>149</v>
      </c>
      <c r="B12" s="28">
        <f aca="true" t="shared" si="5" ref="B12:AE12">B13+B14+B15</f>
        <v>4100</v>
      </c>
      <c r="C12" s="28">
        <f t="shared" si="5"/>
        <v>0</v>
      </c>
      <c r="D12" s="28">
        <f t="shared" si="5"/>
        <v>0</v>
      </c>
      <c r="E12" s="28">
        <f t="shared" si="5"/>
        <v>2050</v>
      </c>
      <c r="F12" s="28">
        <f t="shared" si="5"/>
        <v>2050</v>
      </c>
      <c r="G12" s="28">
        <f t="shared" si="5"/>
        <v>8890</v>
      </c>
      <c r="H12" s="28">
        <f t="shared" si="5"/>
        <v>2050</v>
      </c>
      <c r="I12" s="28">
        <f t="shared" si="5"/>
        <v>2050</v>
      </c>
      <c r="J12" s="28">
        <f t="shared" si="5"/>
        <v>2740</v>
      </c>
      <c r="K12" s="28">
        <f t="shared" si="5"/>
        <v>2050</v>
      </c>
      <c r="L12" s="28">
        <f t="shared" si="5"/>
        <v>8890</v>
      </c>
      <c r="M12" s="28">
        <f t="shared" si="5"/>
        <v>2050</v>
      </c>
      <c r="N12" s="28">
        <f t="shared" si="5"/>
        <v>2050</v>
      </c>
      <c r="O12" s="28">
        <f t="shared" si="5"/>
        <v>2740</v>
      </c>
      <c r="P12" s="28">
        <f t="shared" si="5"/>
        <v>2050</v>
      </c>
      <c r="Q12" s="28">
        <f t="shared" si="5"/>
        <v>8890</v>
      </c>
      <c r="R12" s="28">
        <f t="shared" si="5"/>
        <v>2050</v>
      </c>
      <c r="S12" s="28">
        <f t="shared" si="5"/>
        <v>2050</v>
      </c>
      <c r="T12" s="28">
        <f t="shared" si="5"/>
        <v>2740</v>
      </c>
      <c r="U12" s="28">
        <f t="shared" si="5"/>
        <v>2050</v>
      </c>
      <c r="V12" s="28">
        <f t="shared" si="5"/>
        <v>8890</v>
      </c>
      <c r="W12" s="28">
        <f t="shared" si="5"/>
        <v>2050</v>
      </c>
      <c r="X12" s="28">
        <f t="shared" si="5"/>
        <v>2050</v>
      </c>
      <c r="Y12" s="28">
        <f t="shared" si="5"/>
        <v>2740</v>
      </c>
      <c r="Z12" s="28">
        <f t="shared" si="5"/>
        <v>2050</v>
      </c>
      <c r="AA12" s="28">
        <f t="shared" si="5"/>
        <v>0</v>
      </c>
      <c r="AB12" s="28">
        <f t="shared" si="5"/>
        <v>0</v>
      </c>
      <c r="AC12" s="28">
        <f t="shared" si="5"/>
        <v>0</v>
      </c>
      <c r="AD12" s="28">
        <f t="shared" si="5"/>
        <v>0</v>
      </c>
      <c r="AE12" s="28">
        <f t="shared" si="5"/>
        <v>0</v>
      </c>
      <c r="AF12" s="28">
        <f aca="true" t="shared" si="6" ref="AF12:AF17">AA12+V12+Q12+L12+G12+B12</f>
        <v>39660</v>
      </c>
      <c r="AG12" s="175"/>
      <c r="AH12" s="183"/>
      <c r="AI12" s="183"/>
      <c r="AJ12" s="184"/>
      <c r="AK12" s="175"/>
      <c r="AL12" s="175"/>
      <c r="AM12" s="175"/>
      <c r="AN12" s="175"/>
      <c r="AO12" s="11"/>
      <c r="AP12" s="11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s="8" customFormat="1" ht="15" customHeight="1">
      <c r="A13" s="132" t="str">
        <f>'таблицы в текст'!B127</f>
        <v>Яйцо куриное</v>
      </c>
      <c r="B13" s="28">
        <f>SUM(C13:F13)</f>
        <v>1800</v>
      </c>
      <c r="C13" s="28">
        <f>IF('таблицы в текст'!$D$38=1,'таблицы в текст'!$E$127/12*3,0)</f>
        <v>0</v>
      </c>
      <c r="D13" s="28">
        <f>IF('таблицы в текст'!$D$38&lt;3,'таблицы в текст'!$E$127/12*3,0)</f>
        <v>0</v>
      </c>
      <c r="E13" s="28">
        <f>IF('таблицы в текст'!$D$38&lt;4,'таблицы в текст'!$E$127/12*3,0)</f>
        <v>900</v>
      </c>
      <c r="F13" s="28">
        <f>IF('таблицы в текст'!$D$38&lt;5,'таблицы в текст'!$E$127/12*3,0)</f>
        <v>900</v>
      </c>
      <c r="G13" s="28">
        <f>SUM(H13:K13)</f>
        <v>3600</v>
      </c>
      <c r="H13" s="28">
        <f>IF('таблицы в текст'!$D$38&lt;6,'таблицы в текст'!$E$127/12*3,0)</f>
        <v>900</v>
      </c>
      <c r="I13" s="28">
        <f>IF('таблицы в текст'!$D$38&lt;7,'таблицы в текст'!$E$127/12*3,0)</f>
        <v>900</v>
      </c>
      <c r="J13" s="28">
        <f>IF('таблицы в текст'!$D$38&lt;8,'таблицы в текст'!$E$127/12*3,0)</f>
        <v>900</v>
      </c>
      <c r="K13" s="28">
        <f>IF('таблицы в текст'!$D$38&lt;9,'таблицы в текст'!$E$127/12*3,0)</f>
        <v>900</v>
      </c>
      <c r="L13" s="28">
        <f>SUM(M13:P13)</f>
        <v>3600</v>
      </c>
      <c r="M13" s="28">
        <f>H13*(100%+M11)*M38</f>
        <v>900</v>
      </c>
      <c r="N13" s="28">
        <f>I13*(100%+N11)*N38</f>
        <v>900</v>
      </c>
      <c r="O13" s="28">
        <f>J13*(100%+O11)*O38</f>
        <v>900</v>
      </c>
      <c r="P13" s="28">
        <f>K13*(100%+P11)*P38</f>
        <v>900</v>
      </c>
      <c r="Q13" s="28">
        <f>SUM(R13:U13)</f>
        <v>3600</v>
      </c>
      <c r="R13" s="28">
        <f>M13*(100%+R11)*R38</f>
        <v>900</v>
      </c>
      <c r="S13" s="28">
        <f>N13*(100%+S11)*S38</f>
        <v>900</v>
      </c>
      <c r="T13" s="28">
        <f>O13*(100%+T11)*T38</f>
        <v>900</v>
      </c>
      <c r="U13" s="28">
        <f>P13*(100%+U11)*U38</f>
        <v>900</v>
      </c>
      <c r="V13" s="28">
        <f>SUM(W13:Z13)</f>
        <v>3600</v>
      </c>
      <c r="W13" s="28">
        <f>R13*(100%+W11)*W38</f>
        <v>900</v>
      </c>
      <c r="X13" s="28">
        <f>S13*(100%+X11)*X38</f>
        <v>900</v>
      </c>
      <c r="Y13" s="28">
        <f>T13*(100%+Y11)*Y38</f>
        <v>900</v>
      </c>
      <c r="Z13" s="28">
        <f>U13*(100%+Z11)*Z38</f>
        <v>900</v>
      </c>
      <c r="AA13" s="29"/>
      <c r="AB13" s="28"/>
      <c r="AC13" s="28"/>
      <c r="AD13" s="28"/>
      <c r="AE13" s="28"/>
      <c r="AF13" s="28">
        <f t="shared" si="6"/>
        <v>16200</v>
      </c>
      <c r="AG13" s="175"/>
      <c r="AH13" s="183"/>
      <c r="AI13" s="183"/>
      <c r="AJ13" s="184"/>
      <c r="AK13" s="175"/>
      <c r="AL13" s="175"/>
      <c r="AM13" s="175"/>
      <c r="AN13" s="175"/>
      <c r="AO13" s="11"/>
      <c r="AP13" s="11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s="8" customFormat="1" ht="15" customHeight="1">
      <c r="A14" s="132" t="str">
        <f>'таблицы в текст'!B128</f>
        <v>Мясо курицы</v>
      </c>
      <c r="B14" s="28">
        <f>SUM(C14:F14)</f>
        <v>0</v>
      </c>
      <c r="C14" s="28"/>
      <c r="D14" s="28"/>
      <c r="E14" s="28"/>
      <c r="F14" s="28"/>
      <c r="G14" s="28">
        <f>SUM(H14:K14)</f>
        <v>690</v>
      </c>
      <c r="H14" s="28">
        <f>IF('таблицы в текст'!$D$38=1,'таблицы в текст'!$E$128,0)</f>
        <v>0</v>
      </c>
      <c r="I14" s="28">
        <f>IF('таблицы в текст'!$D$38=2,'таблицы в текст'!$E$128,0)</f>
        <v>0</v>
      </c>
      <c r="J14" s="28">
        <f>IF('таблицы в текст'!$D$38=3,'таблицы в текст'!$E$128,0)</f>
        <v>690</v>
      </c>
      <c r="K14" s="28">
        <f>IF('таблицы в текст'!$D$38=4,'таблицы в текст'!$E$128,0)</f>
        <v>0</v>
      </c>
      <c r="L14" s="28">
        <f>SUM(M14:P14)</f>
        <v>690</v>
      </c>
      <c r="M14" s="28">
        <f>H14</f>
        <v>0</v>
      </c>
      <c r="N14" s="28">
        <f>I14</f>
        <v>0</v>
      </c>
      <c r="O14" s="28">
        <f>J14</f>
        <v>690</v>
      </c>
      <c r="P14" s="28">
        <f>K14</f>
        <v>0</v>
      </c>
      <c r="Q14" s="28">
        <f>SUM(R14:U14)</f>
        <v>690</v>
      </c>
      <c r="R14" s="28">
        <f>M14</f>
        <v>0</v>
      </c>
      <c r="S14" s="28">
        <f>N14</f>
        <v>0</v>
      </c>
      <c r="T14" s="28">
        <f>O14</f>
        <v>690</v>
      </c>
      <c r="U14" s="28">
        <f>P14</f>
        <v>0</v>
      </c>
      <c r="V14" s="28">
        <f>SUM(W14:Z14)</f>
        <v>690</v>
      </c>
      <c r="W14" s="28">
        <f>R14</f>
        <v>0</v>
      </c>
      <c r="X14" s="28">
        <f>S14</f>
        <v>0</v>
      </c>
      <c r="Y14" s="28">
        <f>T14</f>
        <v>690</v>
      </c>
      <c r="Z14" s="28">
        <f>U14</f>
        <v>0</v>
      </c>
      <c r="AA14" s="29"/>
      <c r="AB14" s="28"/>
      <c r="AC14" s="28"/>
      <c r="AD14" s="28"/>
      <c r="AE14" s="28"/>
      <c r="AF14" s="28">
        <f t="shared" si="6"/>
        <v>2760</v>
      </c>
      <c r="AG14" s="175"/>
      <c r="AH14" s="183"/>
      <c r="AI14" s="183"/>
      <c r="AJ14" s="184"/>
      <c r="AK14" s="175"/>
      <c r="AL14" s="175"/>
      <c r="AM14" s="175"/>
      <c r="AN14" s="175"/>
      <c r="AO14" s="11"/>
      <c r="AP14" s="11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1:94" s="8" customFormat="1" ht="15" customHeight="1">
      <c r="A15" s="132" t="str">
        <f>'таблицы в текст'!B129</f>
        <v>Мясо цыпленка-бройлера</v>
      </c>
      <c r="B15" s="28">
        <f>SUM(C15:F15)</f>
        <v>2300</v>
      </c>
      <c r="C15" s="28"/>
      <c r="D15" s="28">
        <f>IF(C13=0,0,'таблицы в текст'!$E$129/12*3)</f>
        <v>0</v>
      </c>
      <c r="E15" s="28">
        <f>IF(E13=0,0,'таблицы в текст'!$E$129/12*3)</f>
        <v>1150</v>
      </c>
      <c r="F15" s="28">
        <f>IF(F13=0,0,'таблицы в текст'!$E$129/12*3)</f>
        <v>1150</v>
      </c>
      <c r="G15" s="28">
        <f>SUM(H15:K15)</f>
        <v>4600</v>
      </c>
      <c r="H15" s="28">
        <f>IF(H13=0,0,'таблицы в текст'!$E$129/12*3)</f>
        <v>1150</v>
      </c>
      <c r="I15" s="28">
        <f>IF(I13=0,0,'таблицы в текст'!$E$129/12*3)</f>
        <v>1150</v>
      </c>
      <c r="J15" s="28">
        <f>IF(J13=0,0,'таблицы в текст'!$E$129/12*3)</f>
        <v>1150</v>
      </c>
      <c r="K15" s="28">
        <f>IF(K13=0,0,'таблицы в текст'!$E$129/12*3)</f>
        <v>1150</v>
      </c>
      <c r="L15" s="28">
        <f>SUM(M15:P15)</f>
        <v>4600</v>
      </c>
      <c r="M15" s="28">
        <f>IF(M13=0,0,'таблицы в текст'!$E$129/12*3)</f>
        <v>1150</v>
      </c>
      <c r="N15" s="28">
        <f>IF(N13=0,0,'таблицы в текст'!$E$129/12*3)</f>
        <v>1150</v>
      </c>
      <c r="O15" s="28">
        <f>IF(O13=0,0,'таблицы в текст'!$E$129/12*3)</f>
        <v>1150</v>
      </c>
      <c r="P15" s="28">
        <f>IF(P13=0,0,'таблицы в текст'!$E$129/12*3)</f>
        <v>1150</v>
      </c>
      <c r="Q15" s="28">
        <f>SUM(R15:U15)</f>
        <v>4600</v>
      </c>
      <c r="R15" s="28">
        <f>IF(R13=0,0,'таблицы в текст'!$E$129/12*3)</f>
        <v>1150</v>
      </c>
      <c r="S15" s="28">
        <f>IF(S13=0,0,'таблицы в текст'!$E$129/12*3)</f>
        <v>1150</v>
      </c>
      <c r="T15" s="28">
        <f>IF(T13=0,0,'таблицы в текст'!$E$129/12*3)</f>
        <v>1150</v>
      </c>
      <c r="U15" s="28">
        <f>IF(U13=0,0,'таблицы в текст'!$E$129/12*3)</f>
        <v>1150</v>
      </c>
      <c r="V15" s="28">
        <f>SUM(W15:Z15)</f>
        <v>4600</v>
      </c>
      <c r="W15" s="28">
        <f>IF(W13=0,0,'таблицы в текст'!$E$129/12*3)</f>
        <v>1150</v>
      </c>
      <c r="X15" s="28">
        <f>IF(X13=0,0,'таблицы в текст'!$E$129/12*3)</f>
        <v>1150</v>
      </c>
      <c r="Y15" s="28">
        <f>IF(Y13=0,0,'таблицы в текст'!$E$129/12*3)</f>
        <v>1150</v>
      </c>
      <c r="Z15" s="28">
        <f>IF(Z13=0,0,'таблицы в текст'!$E$129/12*3)</f>
        <v>1150</v>
      </c>
      <c r="AA15" s="29"/>
      <c r="AB15" s="28">
        <f>IF(AB13=0,0,'таблицы в текст'!$E$129/12*3)</f>
        <v>0</v>
      </c>
      <c r="AC15" s="28">
        <f>IF(AC13=0,0,'таблицы в текст'!$E$129/12*3)</f>
        <v>0</v>
      </c>
      <c r="AD15" s="28">
        <f>IF(AD13=0,0,'таблицы в текст'!$E$129/12*3)</f>
        <v>0</v>
      </c>
      <c r="AE15" s="28">
        <f>IF(AE13=0,0,'таблицы в текст'!$E$129/12*3)</f>
        <v>0</v>
      </c>
      <c r="AF15" s="28">
        <f t="shared" si="6"/>
        <v>20700</v>
      </c>
      <c r="AG15" s="175"/>
      <c r="AH15" s="183"/>
      <c r="AI15" s="183"/>
      <c r="AJ15" s="184"/>
      <c r="AK15" s="175"/>
      <c r="AL15" s="175"/>
      <c r="AM15" s="175"/>
      <c r="AN15" s="175"/>
      <c r="AO15" s="11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s="8" customFormat="1" ht="15" customHeight="1">
      <c r="A16" s="12" t="s">
        <v>155</v>
      </c>
      <c r="B16" s="28">
        <f>B18+B19+B20+B21+B22+B23</f>
        <v>1800.176044510686</v>
      </c>
      <c r="C16" s="28">
        <f aca="true" t="shared" si="7" ref="C16:AE16">C18+C19+C20+C21+C22+C23</f>
        <v>0</v>
      </c>
      <c r="D16" s="28">
        <f t="shared" si="7"/>
        <v>0</v>
      </c>
      <c r="E16" s="28">
        <f t="shared" si="7"/>
        <v>1125.088022255343</v>
      </c>
      <c r="F16" s="28">
        <f t="shared" si="7"/>
        <v>675.088022255343</v>
      </c>
      <c r="G16" s="28">
        <f t="shared" si="7"/>
        <v>3230.341777</v>
      </c>
      <c r="H16" s="28">
        <f t="shared" si="7"/>
        <v>675.088022255343</v>
      </c>
      <c r="I16" s="28">
        <f t="shared" si="7"/>
        <v>675.088022255343</v>
      </c>
      <c r="J16" s="28">
        <f t="shared" si="7"/>
        <v>1205.0777102339707</v>
      </c>
      <c r="K16" s="28">
        <f t="shared" si="7"/>
        <v>675.088022255343</v>
      </c>
      <c r="L16" s="28">
        <f t="shared" si="7"/>
        <v>3230.341777</v>
      </c>
      <c r="M16" s="28">
        <f t="shared" si="7"/>
        <v>675.088022255343</v>
      </c>
      <c r="N16" s="28">
        <f t="shared" si="7"/>
        <v>675.088022255343</v>
      </c>
      <c r="O16" s="28">
        <f t="shared" si="7"/>
        <v>1205.0777102339707</v>
      </c>
      <c r="P16" s="28">
        <f t="shared" si="7"/>
        <v>675.088022255343</v>
      </c>
      <c r="Q16" s="28">
        <f t="shared" si="7"/>
        <v>3230.341777</v>
      </c>
      <c r="R16" s="28">
        <f t="shared" si="7"/>
        <v>675.088022255343</v>
      </c>
      <c r="S16" s="28">
        <f t="shared" si="7"/>
        <v>675.088022255343</v>
      </c>
      <c r="T16" s="28">
        <f t="shared" si="7"/>
        <v>1205.0777102339707</v>
      </c>
      <c r="U16" s="28">
        <f t="shared" si="7"/>
        <v>675.088022255343</v>
      </c>
      <c r="V16" s="28">
        <f t="shared" si="7"/>
        <v>3230.341777</v>
      </c>
      <c r="W16" s="28">
        <f t="shared" si="7"/>
        <v>675.088022255343</v>
      </c>
      <c r="X16" s="28">
        <f t="shared" si="7"/>
        <v>675.088022255343</v>
      </c>
      <c r="Y16" s="28">
        <f t="shared" si="7"/>
        <v>1205.0777102339707</v>
      </c>
      <c r="Z16" s="28">
        <f t="shared" si="7"/>
        <v>675.088022255343</v>
      </c>
      <c r="AA16" s="28">
        <f t="shared" si="7"/>
        <v>0</v>
      </c>
      <c r="AB16" s="28">
        <f t="shared" si="7"/>
        <v>0</v>
      </c>
      <c r="AC16" s="28">
        <f t="shared" si="7"/>
        <v>0</v>
      </c>
      <c r="AD16" s="28">
        <f t="shared" si="7"/>
        <v>0</v>
      </c>
      <c r="AE16" s="28">
        <f t="shared" si="7"/>
        <v>0</v>
      </c>
      <c r="AF16" s="28">
        <f t="shared" si="6"/>
        <v>14721.543152510687</v>
      </c>
      <c r="AG16" s="175"/>
      <c r="AH16" s="183"/>
      <c r="AI16" s="183"/>
      <c r="AJ16" s="184"/>
      <c r="AK16" s="175"/>
      <c r="AL16" s="175"/>
      <c r="AM16" s="175"/>
      <c r="AN16" s="175"/>
      <c r="AO16" s="11"/>
      <c r="AP16" s="11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15" customHeight="1">
      <c r="A17" s="12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>
        <f aca="true" t="shared" si="8" ref="AA17:AA31">SUM(AB17:AE17)</f>
        <v>0</v>
      </c>
      <c r="AB17" s="28"/>
      <c r="AC17" s="28"/>
      <c r="AD17" s="28"/>
      <c r="AE17" s="28"/>
      <c r="AF17" s="28">
        <f t="shared" si="6"/>
        <v>0</v>
      </c>
      <c r="AG17" s="175"/>
      <c r="AH17" s="183"/>
      <c r="AI17" s="183"/>
      <c r="AJ17" s="184"/>
      <c r="AK17" s="175"/>
      <c r="AL17" s="175"/>
      <c r="AM17" s="175"/>
      <c r="AN17" s="175"/>
      <c r="AO17" s="11"/>
      <c r="AP17" s="11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8" customFormat="1" ht="15" customHeight="1">
      <c r="A18" s="132" t="str">
        <f>'таблицы в текст'!B224</f>
        <v>Расходы на корм</v>
      </c>
      <c r="B18" s="28">
        <f aca="true" t="shared" si="9" ref="B18:B23">SUM(C18:F18)</f>
        <v>574.875</v>
      </c>
      <c r="C18" s="28">
        <f>IF(C12=0,0,'таблицы в текст'!$C$224/12*3)</f>
        <v>0</v>
      </c>
      <c r="D18" s="28">
        <f>IF(D12=0,0,'таблицы в текст'!$C$224/12*3)</f>
        <v>0</v>
      </c>
      <c r="E18" s="28">
        <f>IF(E12=0,0,'таблицы в текст'!$C$224/12*3)</f>
        <v>287.4375</v>
      </c>
      <c r="F18" s="28">
        <f>IF(F12=0,0,'таблицы в текст'!$C$224/12*3)</f>
        <v>287.4375</v>
      </c>
      <c r="G18" s="28">
        <f aca="true" t="shared" si="10" ref="G18:G23">SUM(H18:K18)</f>
        <v>1149.75</v>
      </c>
      <c r="H18" s="28">
        <f>IF(H12=0,0,'таблицы в текст'!$C$224/12*3)</f>
        <v>287.4375</v>
      </c>
      <c r="I18" s="28">
        <f>IF(I12=0,0,'таблицы в текст'!$C$224/12*3)</f>
        <v>287.4375</v>
      </c>
      <c r="J18" s="28">
        <f>IF(J12=0,0,'таблицы в текст'!$C$224/12*3)</f>
        <v>287.4375</v>
      </c>
      <c r="K18" s="28">
        <f>IF(K12=0,0,'таблицы в текст'!$C$224/12*3)</f>
        <v>287.4375</v>
      </c>
      <c r="L18" s="28">
        <f aca="true" t="shared" si="11" ref="L18:L23">SUM(M18:P18)</f>
        <v>1149.75</v>
      </c>
      <c r="M18" s="28">
        <f>IF(M12=0,0,'таблицы в текст'!$C$224/12*3)</f>
        <v>287.4375</v>
      </c>
      <c r="N18" s="28">
        <f>IF(N12=0,0,'таблицы в текст'!$C$224/12*3)</f>
        <v>287.4375</v>
      </c>
      <c r="O18" s="28">
        <f>IF(O12=0,0,'таблицы в текст'!$C$224/12*3)</f>
        <v>287.4375</v>
      </c>
      <c r="P18" s="28">
        <f>IF(P12=0,0,'таблицы в текст'!$C$224/12*3)</f>
        <v>287.4375</v>
      </c>
      <c r="Q18" s="28">
        <f aca="true" t="shared" si="12" ref="Q18:Q23">SUM(R18:U18)</f>
        <v>1149.75</v>
      </c>
      <c r="R18" s="28">
        <f>IF(R12=0,0,'таблицы в текст'!$C$224/12*3)</f>
        <v>287.4375</v>
      </c>
      <c r="S18" s="28">
        <f>IF(S12=0,0,'таблицы в текст'!$C$224/12*3)</f>
        <v>287.4375</v>
      </c>
      <c r="T18" s="28">
        <f>IF(T12=0,0,'таблицы в текст'!$C$224/12*3)</f>
        <v>287.4375</v>
      </c>
      <c r="U18" s="28">
        <f>IF(U12=0,0,'таблицы в текст'!$C$224/12*3)</f>
        <v>287.4375</v>
      </c>
      <c r="V18" s="28">
        <f>SUM(W18:Z18)</f>
        <v>1149.75</v>
      </c>
      <c r="W18" s="28">
        <f>IF(W12=0,0,'таблицы в текст'!$C$224/12*3)</f>
        <v>287.4375</v>
      </c>
      <c r="X18" s="28">
        <f>IF(X12=0,0,'таблицы в текст'!$C$224/12*3)</f>
        <v>287.4375</v>
      </c>
      <c r="Y18" s="28">
        <f>IF(Y12=0,0,'таблицы в текст'!$C$224/12*3)</f>
        <v>287.4375</v>
      </c>
      <c r="Z18" s="28">
        <f>IF(Z12=0,0,'таблицы в текст'!$C$224/12*3)</f>
        <v>287.4375</v>
      </c>
      <c r="AA18" s="28">
        <f>SUM(AB18:AE18)</f>
        <v>0</v>
      </c>
      <c r="AB18" s="28">
        <f>IF(AB12=0,0,'таблицы в текст'!$C$224/12*3)</f>
        <v>0</v>
      </c>
      <c r="AC18" s="28">
        <f>IF(AC12=0,0,'таблицы в текст'!$C$224/12*3)</f>
        <v>0</v>
      </c>
      <c r="AD18" s="28">
        <f>IF(AD12=0,0,'таблицы в текст'!$C$224/12*3)</f>
        <v>0</v>
      </c>
      <c r="AE18" s="28">
        <f>IF(AE12=0,0,'таблицы в текст'!$C$224/12*3)</f>
        <v>0</v>
      </c>
      <c r="AF18" s="28">
        <f>AA18+V18+Q18+L18+G18+B18</f>
        <v>5173.875</v>
      </c>
      <c r="AG18" s="175"/>
      <c r="AH18" s="183"/>
      <c r="AI18" s="183"/>
      <c r="AJ18" s="184"/>
      <c r="AK18" s="175"/>
      <c r="AL18" s="175"/>
      <c r="AM18" s="175"/>
      <c r="AN18" s="175"/>
      <c r="AO18" s="11"/>
      <c r="AP18" s="1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8" customFormat="1" ht="15" customHeight="1">
      <c r="A19" s="132" t="str">
        <f>'таблицы в текст'!B225</f>
        <v>Расходы на закуп кур-несушек</v>
      </c>
      <c r="B19" s="28">
        <f t="shared" si="9"/>
        <v>450</v>
      </c>
      <c r="C19" s="28">
        <f>IF('таблицы в текст'!$D$38=1,'таблицы в текст'!$C$225,0)</f>
        <v>0</v>
      </c>
      <c r="D19" s="28">
        <f>IF('таблицы в текст'!$D$38=2,'таблицы в текст'!$C$225,0)</f>
        <v>0</v>
      </c>
      <c r="E19" s="28">
        <f>IF('таблицы в текст'!$D$38=3,'таблицы в текст'!$C$225,0)</f>
        <v>450</v>
      </c>
      <c r="F19" s="28">
        <f>IF('таблицы в текст'!$D$38=4,'таблицы в текст'!$C$225,0)</f>
        <v>0</v>
      </c>
      <c r="G19" s="28">
        <f t="shared" si="10"/>
        <v>450</v>
      </c>
      <c r="H19" s="28">
        <f>IF('таблицы в текст'!$D$38=1,'таблицы в текст'!$C$225,0)</f>
        <v>0</v>
      </c>
      <c r="I19" s="28">
        <f>IF('таблицы в текст'!$D$38=2,'таблицы в текст'!$C$225,0)</f>
        <v>0</v>
      </c>
      <c r="J19" s="28">
        <f>IF('таблицы в текст'!$D$38=3,'таблицы в текст'!$C$225,0)</f>
        <v>450</v>
      </c>
      <c r="K19" s="28">
        <f>IF('таблицы в текст'!$D$38=4,'таблицы в текст'!$C$225,0)</f>
        <v>0</v>
      </c>
      <c r="L19" s="28">
        <f t="shared" si="11"/>
        <v>450</v>
      </c>
      <c r="M19" s="28">
        <f>H19</f>
        <v>0</v>
      </c>
      <c r="N19" s="28">
        <f>I19</f>
        <v>0</v>
      </c>
      <c r="O19" s="28">
        <f>J19</f>
        <v>450</v>
      </c>
      <c r="P19" s="28">
        <f>K19</f>
        <v>0</v>
      </c>
      <c r="Q19" s="28">
        <f t="shared" si="12"/>
        <v>450</v>
      </c>
      <c r="R19" s="28">
        <f>M19</f>
        <v>0</v>
      </c>
      <c r="S19" s="28">
        <f>N19</f>
        <v>0</v>
      </c>
      <c r="T19" s="28">
        <f>O19</f>
        <v>450</v>
      </c>
      <c r="U19" s="28">
        <f>P19</f>
        <v>0</v>
      </c>
      <c r="V19" s="28">
        <f>SUM(W19:Z19)</f>
        <v>450</v>
      </c>
      <c r="W19" s="28">
        <f>R19</f>
        <v>0</v>
      </c>
      <c r="X19" s="28">
        <f>S19</f>
        <v>0</v>
      </c>
      <c r="Y19" s="28">
        <f>T19</f>
        <v>450</v>
      </c>
      <c r="Z19" s="28">
        <f>U19</f>
        <v>0</v>
      </c>
      <c r="AA19" s="29">
        <f t="shared" si="8"/>
        <v>0</v>
      </c>
      <c r="AB19" s="28">
        <f>'таблицы в текст'!$C$225/$G$12*AB12</f>
        <v>0</v>
      </c>
      <c r="AC19" s="28">
        <f>'таблицы в текст'!$C$225/$G$12*AC12</f>
        <v>0</v>
      </c>
      <c r="AD19" s="28">
        <f>'таблицы в текст'!$C$225/$G$12*AD12</f>
        <v>0</v>
      </c>
      <c r="AE19" s="28">
        <f>'таблицы в текст'!$C$225/$G$12*AE12</f>
        <v>0</v>
      </c>
      <c r="AF19" s="28">
        <f>AA19+V19+Q19+L19+G19+B19</f>
        <v>2250</v>
      </c>
      <c r="AG19" s="175"/>
      <c r="AH19" s="183"/>
      <c r="AI19" s="183"/>
      <c r="AJ19" s="184"/>
      <c r="AK19" s="175"/>
      <c r="AL19" s="175"/>
      <c r="AM19" s="175"/>
      <c r="AN19" s="175"/>
      <c r="AO19" s="11"/>
      <c r="AP19" s="1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8" customFormat="1" ht="15" customHeight="1">
      <c r="A20" s="132" t="str">
        <f>'таблицы в текст'!B226</f>
        <v>Расходы на закуп цыплят</v>
      </c>
      <c r="B20" s="28">
        <f t="shared" si="9"/>
        <v>300</v>
      </c>
      <c r="C20" s="28">
        <f>IF(C12=0,0,'таблицы в текст'!$E$70-'таблицы в текст'!$E$70)</f>
        <v>0</v>
      </c>
      <c r="D20" s="28">
        <f>IF(D12=0,0,'таблицы в текст'!$E$70-'таблицы в текст'!$E$70)</f>
        <v>0</v>
      </c>
      <c r="E20" s="28">
        <f>IF(E12=0,0,'таблицы в текст'!$E$70)</f>
        <v>150</v>
      </c>
      <c r="F20" s="28">
        <f>IF(F12=0,0,'таблицы в текст'!$E$70)</f>
        <v>150</v>
      </c>
      <c r="G20" s="28">
        <f t="shared" si="10"/>
        <v>600</v>
      </c>
      <c r="H20" s="28">
        <f>F20</f>
        <v>150</v>
      </c>
      <c r="I20" s="28">
        <f>H20</f>
        <v>150</v>
      </c>
      <c r="J20" s="28">
        <f>I20</f>
        <v>150</v>
      </c>
      <c r="K20" s="28">
        <f>J20</f>
        <v>150</v>
      </c>
      <c r="L20" s="28">
        <f t="shared" si="11"/>
        <v>600</v>
      </c>
      <c r="M20" s="28">
        <f>K20</f>
        <v>150</v>
      </c>
      <c r="N20" s="28">
        <f>M20</f>
        <v>150</v>
      </c>
      <c r="O20" s="28">
        <f>N20</f>
        <v>150</v>
      </c>
      <c r="P20" s="28">
        <f>O20</f>
        <v>150</v>
      </c>
      <c r="Q20" s="28">
        <f t="shared" si="12"/>
        <v>600</v>
      </c>
      <c r="R20" s="28">
        <f>P20</f>
        <v>150</v>
      </c>
      <c r="S20" s="28">
        <f>R20</f>
        <v>150</v>
      </c>
      <c r="T20" s="28">
        <f>S20</f>
        <v>150</v>
      </c>
      <c r="U20" s="28">
        <f>T20</f>
        <v>150</v>
      </c>
      <c r="V20" s="28">
        <f>SUM(W20:Z20)</f>
        <v>600</v>
      </c>
      <c r="W20" s="28">
        <f>U20</f>
        <v>150</v>
      </c>
      <c r="X20" s="28">
        <f>W20</f>
        <v>150</v>
      </c>
      <c r="Y20" s="28">
        <f>X20</f>
        <v>150</v>
      </c>
      <c r="Z20" s="28">
        <f>Y20</f>
        <v>150</v>
      </c>
      <c r="AA20" s="29"/>
      <c r="AB20" s="28"/>
      <c r="AC20" s="28"/>
      <c r="AD20" s="28"/>
      <c r="AE20" s="28"/>
      <c r="AF20" s="28">
        <f>AA20+V20+Q20+L20+G20+B20</f>
        <v>2700</v>
      </c>
      <c r="AG20" s="175"/>
      <c r="AH20" s="183"/>
      <c r="AI20" s="183"/>
      <c r="AJ20" s="184"/>
      <c r="AK20" s="175"/>
      <c r="AL20" s="175"/>
      <c r="AM20" s="175"/>
      <c r="AN20" s="175"/>
      <c r="AO20" s="11"/>
      <c r="AP20" s="1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1:94" s="8" customFormat="1" ht="15" customHeight="1">
      <c r="A21" s="132" t="str">
        <f>'таблицы в текст'!B228</f>
        <v>Расходы на электроэнергию</v>
      </c>
      <c r="B21" s="28">
        <f t="shared" si="9"/>
        <v>79.40533275590552</v>
      </c>
      <c r="C21" s="28">
        <f>'таблицы в текст'!$C$228/$G$12*C12</f>
        <v>0</v>
      </c>
      <c r="D21" s="28">
        <f>'таблицы в текст'!$C$228/$G$12*D12</f>
        <v>0</v>
      </c>
      <c r="E21" s="28">
        <f>'таблицы в текст'!$C$228/$G$12*E12</f>
        <v>39.70266637795276</v>
      </c>
      <c r="F21" s="28">
        <f>'таблицы в текст'!$C$228/$G$12*F12</f>
        <v>39.70266637795276</v>
      </c>
      <c r="G21" s="28">
        <f t="shared" si="10"/>
        <v>172.17400200000003</v>
      </c>
      <c r="H21" s="28">
        <f>'таблицы в текст'!$C$228/$G$12*H12</f>
        <v>39.70266637795276</v>
      </c>
      <c r="I21" s="28">
        <f>'таблицы в текст'!$C$228/$G$12*I12</f>
        <v>39.70266637795276</v>
      </c>
      <c r="J21" s="28">
        <f>'таблицы в текст'!$C$228/$G$12*J12</f>
        <v>53.06600286614174</v>
      </c>
      <c r="K21" s="28">
        <f>'таблицы в текст'!$C$228/$G$12*K12</f>
        <v>39.70266637795276</v>
      </c>
      <c r="L21" s="28">
        <f t="shared" si="11"/>
        <v>172.17400200000003</v>
      </c>
      <c r="M21" s="28">
        <f>'таблицы в текст'!$C$228/$G$12*M12</f>
        <v>39.70266637795276</v>
      </c>
      <c r="N21" s="28">
        <f>'таблицы в текст'!$C$228/$G$12*N12</f>
        <v>39.70266637795276</v>
      </c>
      <c r="O21" s="28">
        <f>'таблицы в текст'!$C$228/$G$12*O12</f>
        <v>53.06600286614174</v>
      </c>
      <c r="P21" s="28">
        <f>'таблицы в текст'!$C$228/$G$12*P12</f>
        <v>39.70266637795276</v>
      </c>
      <c r="Q21" s="28">
        <f t="shared" si="12"/>
        <v>172.17400200000003</v>
      </c>
      <c r="R21" s="28">
        <f>'таблицы в текст'!$C$228/$G$12*R12</f>
        <v>39.70266637795276</v>
      </c>
      <c r="S21" s="28">
        <f>'таблицы в текст'!$C$228/$G$12*S12</f>
        <v>39.70266637795276</v>
      </c>
      <c r="T21" s="28">
        <f>'таблицы в текст'!$C$228/$G$12*T12</f>
        <v>53.06600286614174</v>
      </c>
      <c r="U21" s="28">
        <f>'таблицы в текст'!$C$228/$G$12*U12</f>
        <v>39.70266637795276</v>
      </c>
      <c r="V21" s="28">
        <f aca="true" t="shared" si="13" ref="V21:V33">SUM(W21:Z21)</f>
        <v>172.17400200000003</v>
      </c>
      <c r="W21" s="28">
        <f>'таблицы в текст'!$C$228/$G$12*W12</f>
        <v>39.70266637795276</v>
      </c>
      <c r="X21" s="28">
        <f>'таблицы в текст'!$C$228/$G$12*X12</f>
        <v>39.70266637795276</v>
      </c>
      <c r="Y21" s="28">
        <f>'таблицы в текст'!$C$228/$G$12*Y12</f>
        <v>53.06600286614174</v>
      </c>
      <c r="Z21" s="28">
        <f>'таблицы в текст'!$C$228/$G$12*Z12</f>
        <v>39.70266637795276</v>
      </c>
      <c r="AA21" s="29">
        <f t="shared" si="8"/>
        <v>0</v>
      </c>
      <c r="AB21" s="28">
        <f>'таблицы в текст'!$C$228/$G$12*AB12</f>
        <v>0</v>
      </c>
      <c r="AC21" s="28">
        <f>'таблицы в текст'!$C$228/$G$12*AC12</f>
        <v>0</v>
      </c>
      <c r="AD21" s="28">
        <f>'таблицы в текст'!$C$228/$G$12*AD12</f>
        <v>0</v>
      </c>
      <c r="AE21" s="28">
        <f>'таблицы в текст'!$C$228/$G$12*AE12</f>
        <v>0</v>
      </c>
      <c r="AF21" s="28">
        <f aca="true" t="shared" si="14" ref="AF21:AF35">AA21+V21+Q21+L21+G21+B21</f>
        <v>768.1013407559057</v>
      </c>
      <c r="AG21" s="175"/>
      <c r="AH21" s="183"/>
      <c r="AI21" s="183"/>
      <c r="AJ21" s="184"/>
      <c r="AK21" s="175"/>
      <c r="AL21" s="175"/>
      <c r="AM21" s="175"/>
      <c r="AN21" s="175"/>
      <c r="AO21" s="11"/>
      <c r="AP21" s="1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s="8" customFormat="1" ht="15" customHeight="1">
      <c r="A22" s="132" t="str">
        <f>'таблицы в текст'!B229</f>
        <v>Расходы на воду</v>
      </c>
      <c r="B22" s="28">
        <f t="shared" si="9"/>
        <v>5.464656636670416</v>
      </c>
      <c r="C22" s="28">
        <f>'таблицы в текст'!$C$229/$G$12*C12</f>
        <v>0</v>
      </c>
      <c r="D22" s="28">
        <f>'таблицы в текст'!$C$229/$G$12*D12</f>
        <v>0</v>
      </c>
      <c r="E22" s="28">
        <f>'таблицы в текст'!$C$229/$G$12*E12</f>
        <v>2.732328318335208</v>
      </c>
      <c r="F22" s="28">
        <f>'таблицы в текст'!$C$229/$G$12*F12</f>
        <v>2.732328318335208</v>
      </c>
      <c r="G22" s="28">
        <f t="shared" si="10"/>
        <v>11.848975</v>
      </c>
      <c r="H22" s="28">
        <f>'таблицы в текст'!$C$229/$G$12*H12</f>
        <v>2.732328318335208</v>
      </c>
      <c r="I22" s="28">
        <f>'таблицы в текст'!$C$229/$G$12*I12</f>
        <v>2.732328318335208</v>
      </c>
      <c r="J22" s="28">
        <f>'таблицы в текст'!$C$229/$G$12*J12</f>
        <v>3.6519900449943754</v>
      </c>
      <c r="K22" s="28">
        <f>'таблицы в текст'!$C$229/$G$12*K12</f>
        <v>2.732328318335208</v>
      </c>
      <c r="L22" s="28">
        <f t="shared" si="11"/>
        <v>11.848975</v>
      </c>
      <c r="M22" s="28">
        <f>'таблицы в текст'!$C$229/$G$12*M12</f>
        <v>2.732328318335208</v>
      </c>
      <c r="N22" s="28">
        <f>'таблицы в текст'!$C$229/$G$12*N12</f>
        <v>2.732328318335208</v>
      </c>
      <c r="O22" s="28">
        <f>'таблицы в текст'!$C$229/$G$12*O12</f>
        <v>3.6519900449943754</v>
      </c>
      <c r="P22" s="28">
        <f>'таблицы в текст'!$C$229/$G$12*P12</f>
        <v>2.732328318335208</v>
      </c>
      <c r="Q22" s="28">
        <f t="shared" si="12"/>
        <v>11.848975</v>
      </c>
      <c r="R22" s="28">
        <f>'таблицы в текст'!$C$229/$G$12*R12</f>
        <v>2.732328318335208</v>
      </c>
      <c r="S22" s="28">
        <f>'таблицы в текст'!$C$229/$G$12*S12</f>
        <v>2.732328318335208</v>
      </c>
      <c r="T22" s="28">
        <f>'таблицы в текст'!$C$229/$G$12*T12</f>
        <v>3.6519900449943754</v>
      </c>
      <c r="U22" s="28">
        <f>'таблицы в текст'!$C$229/$G$12*U12</f>
        <v>2.732328318335208</v>
      </c>
      <c r="V22" s="28">
        <f t="shared" si="13"/>
        <v>11.848975</v>
      </c>
      <c r="W22" s="28">
        <f>'таблицы в текст'!$C$229/$G$12*W12</f>
        <v>2.732328318335208</v>
      </c>
      <c r="X22" s="28">
        <f>'таблицы в текст'!$C$229/$G$12*X12</f>
        <v>2.732328318335208</v>
      </c>
      <c r="Y22" s="28">
        <f>'таблицы в текст'!$C$229/$G$12*Y12</f>
        <v>3.6519900449943754</v>
      </c>
      <c r="Z22" s="28">
        <f>'таблицы в текст'!$C$229/$G$12*Z12</f>
        <v>2.732328318335208</v>
      </c>
      <c r="AA22" s="29">
        <f t="shared" si="8"/>
        <v>0</v>
      </c>
      <c r="AB22" s="28">
        <f>'таблицы в текст'!$C$229/$G$12*AB12</f>
        <v>0</v>
      </c>
      <c r="AC22" s="28">
        <f>'таблицы в текст'!$C$229/$G$12*AC12</f>
        <v>0</v>
      </c>
      <c r="AD22" s="28">
        <f>'таблицы в текст'!$C$229/$G$12*AD12</f>
        <v>0</v>
      </c>
      <c r="AE22" s="28">
        <f>'таблицы в текст'!$C$229/$G$12*AE12</f>
        <v>0</v>
      </c>
      <c r="AF22" s="28">
        <f t="shared" si="14"/>
        <v>52.86055663667041</v>
      </c>
      <c r="AG22" s="175"/>
      <c r="AH22" s="183"/>
      <c r="AI22" s="183"/>
      <c r="AJ22" s="184"/>
      <c r="AK22" s="175"/>
      <c r="AL22" s="175"/>
      <c r="AM22" s="175"/>
      <c r="AN22" s="175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s="8" customFormat="1" ht="15" customHeight="1">
      <c r="A23" s="132" t="str">
        <f>'таблицы в текст'!B232</f>
        <v>Расходы на ГСМ</v>
      </c>
      <c r="B23" s="28">
        <f t="shared" si="9"/>
        <v>390.43105511811024</v>
      </c>
      <c r="C23" s="28">
        <f>'таблицы в текст'!$C$232/$G$12*'приложение 1'!C12</f>
        <v>0</v>
      </c>
      <c r="D23" s="28">
        <f>'таблицы в текст'!$C$232/$G$12*'приложение 1'!D12</f>
        <v>0</v>
      </c>
      <c r="E23" s="28">
        <f>'таблицы в текст'!$C$232/$G$12*'приложение 1'!E12</f>
        <v>195.21552755905512</v>
      </c>
      <c r="F23" s="28">
        <f>'таблицы в текст'!$C$232/$G$12*'приложение 1'!F12</f>
        <v>195.21552755905512</v>
      </c>
      <c r="G23" s="28">
        <f t="shared" si="10"/>
        <v>846.5688</v>
      </c>
      <c r="H23" s="28">
        <f>'таблицы в текст'!$C$232/$G$12*'приложение 1'!H12</f>
        <v>195.21552755905512</v>
      </c>
      <c r="I23" s="28">
        <f>'таблицы в текст'!$C$232/$G$12*'приложение 1'!I12</f>
        <v>195.21552755905512</v>
      </c>
      <c r="J23" s="28">
        <f>'таблицы в текст'!$C$232/$G$12*'приложение 1'!J12</f>
        <v>260.9222173228346</v>
      </c>
      <c r="K23" s="28">
        <f>'таблицы в текст'!$C$232/$G$12*'приложение 1'!K12</f>
        <v>195.21552755905512</v>
      </c>
      <c r="L23" s="28">
        <f t="shared" si="11"/>
        <v>846.5688</v>
      </c>
      <c r="M23" s="28">
        <f>'таблицы в текст'!$C$232/$G$12*'приложение 1'!M12</f>
        <v>195.21552755905512</v>
      </c>
      <c r="N23" s="28">
        <f>'таблицы в текст'!$C$232/$G$12*'приложение 1'!N12</f>
        <v>195.21552755905512</v>
      </c>
      <c r="O23" s="28">
        <f>'таблицы в текст'!$C$232/$G$12*'приложение 1'!O12</f>
        <v>260.9222173228346</v>
      </c>
      <c r="P23" s="28">
        <f>'таблицы в текст'!$C$232/$G$12*'приложение 1'!P12</f>
        <v>195.21552755905512</v>
      </c>
      <c r="Q23" s="28">
        <f t="shared" si="12"/>
        <v>846.5688</v>
      </c>
      <c r="R23" s="28">
        <f>'таблицы в текст'!$C$232/$G$12*'приложение 1'!R12</f>
        <v>195.21552755905512</v>
      </c>
      <c r="S23" s="28">
        <f>'таблицы в текст'!$C$232/$G$12*'приложение 1'!S12</f>
        <v>195.21552755905512</v>
      </c>
      <c r="T23" s="28">
        <f>'таблицы в текст'!$C$232/$G$12*'приложение 1'!T12</f>
        <v>260.9222173228346</v>
      </c>
      <c r="U23" s="28">
        <f>'таблицы в текст'!$C$232/$G$12*'приложение 1'!U12</f>
        <v>195.21552755905512</v>
      </c>
      <c r="V23" s="28">
        <f>SUM(W23:Z23)</f>
        <v>846.5688</v>
      </c>
      <c r="W23" s="28">
        <f>'таблицы в текст'!$C$232/$G$12*'приложение 1'!W12</f>
        <v>195.21552755905512</v>
      </c>
      <c r="X23" s="28">
        <f>'таблицы в текст'!$C$232/$G$12*'приложение 1'!X12</f>
        <v>195.21552755905512</v>
      </c>
      <c r="Y23" s="28">
        <f>'таблицы в текст'!$C$232/$G$12*'приложение 1'!Y12</f>
        <v>260.9222173228346</v>
      </c>
      <c r="Z23" s="28">
        <f>'таблицы в текст'!$C$232/$G$12*'приложение 1'!Z12</f>
        <v>195.21552755905512</v>
      </c>
      <c r="AA23" s="28">
        <f>SUM(AB23:AE23)</f>
        <v>0</v>
      </c>
      <c r="AB23" s="28">
        <f>'таблицы в текст'!$C$232/$G$12*'приложение 1'!AB12</f>
        <v>0</v>
      </c>
      <c r="AC23" s="28">
        <f>'таблицы в текст'!$C$232/$G$12*'приложение 1'!AC12</f>
        <v>0</v>
      </c>
      <c r="AD23" s="28">
        <f>'таблицы в текст'!$C$232/$G$12*'приложение 1'!AD12</f>
        <v>0</v>
      </c>
      <c r="AE23" s="28">
        <f>'таблицы в текст'!$C$232/$G$12*'приложение 1'!AE12</f>
        <v>0</v>
      </c>
      <c r="AF23" s="28">
        <f t="shared" si="14"/>
        <v>3776.70625511811</v>
      </c>
      <c r="AG23" s="175"/>
      <c r="AH23" s="183"/>
      <c r="AI23" s="183"/>
      <c r="AJ23" s="184"/>
      <c r="AK23" s="175"/>
      <c r="AL23" s="175"/>
      <c r="AM23" s="175"/>
      <c r="AN23" s="175"/>
      <c r="AO23" s="11"/>
      <c r="AP23" s="1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s="8" customFormat="1" ht="19.5" customHeight="1">
      <c r="A24" s="12" t="s">
        <v>157</v>
      </c>
      <c r="B24" s="28">
        <f aca="true" t="shared" si="15" ref="B24:U24">B12-B16</f>
        <v>2299.823955489314</v>
      </c>
      <c r="C24" s="28">
        <f t="shared" si="15"/>
        <v>0</v>
      </c>
      <c r="D24" s="28">
        <f t="shared" si="15"/>
        <v>0</v>
      </c>
      <c r="E24" s="28">
        <f t="shared" si="15"/>
        <v>924.911977744657</v>
      </c>
      <c r="F24" s="28">
        <f t="shared" si="15"/>
        <v>1374.911977744657</v>
      </c>
      <c r="G24" s="28">
        <f t="shared" si="15"/>
        <v>5659.658223</v>
      </c>
      <c r="H24" s="28">
        <f t="shared" si="15"/>
        <v>1374.911977744657</v>
      </c>
      <c r="I24" s="28">
        <f t="shared" si="15"/>
        <v>1374.911977744657</v>
      </c>
      <c r="J24" s="28">
        <f t="shared" si="15"/>
        <v>1534.9222897660293</v>
      </c>
      <c r="K24" s="28">
        <f t="shared" si="15"/>
        <v>1374.911977744657</v>
      </c>
      <c r="L24" s="28">
        <f t="shared" si="15"/>
        <v>5659.658223</v>
      </c>
      <c r="M24" s="28">
        <f t="shared" si="15"/>
        <v>1374.911977744657</v>
      </c>
      <c r="N24" s="28">
        <f t="shared" si="15"/>
        <v>1374.911977744657</v>
      </c>
      <c r="O24" s="28">
        <f t="shared" si="15"/>
        <v>1534.9222897660293</v>
      </c>
      <c r="P24" s="28">
        <f t="shared" si="15"/>
        <v>1374.911977744657</v>
      </c>
      <c r="Q24" s="28">
        <f t="shared" si="15"/>
        <v>5659.658223</v>
      </c>
      <c r="R24" s="28">
        <f t="shared" si="15"/>
        <v>1374.911977744657</v>
      </c>
      <c r="S24" s="28">
        <f t="shared" si="15"/>
        <v>1374.911977744657</v>
      </c>
      <c r="T24" s="28">
        <f t="shared" si="15"/>
        <v>1534.9222897660293</v>
      </c>
      <c r="U24" s="28">
        <f t="shared" si="15"/>
        <v>1374.911977744657</v>
      </c>
      <c r="V24" s="28">
        <f t="shared" si="13"/>
        <v>5659.658222999999</v>
      </c>
      <c r="W24" s="28">
        <f>W12-W16</f>
        <v>1374.911977744657</v>
      </c>
      <c r="X24" s="28">
        <f>X12-X16</f>
        <v>1374.911977744657</v>
      </c>
      <c r="Y24" s="28">
        <f>Y12-Y16</f>
        <v>1534.9222897660293</v>
      </c>
      <c r="Z24" s="28">
        <f>Z12-Z16</f>
        <v>1374.911977744657</v>
      </c>
      <c r="AA24" s="29">
        <f t="shared" si="8"/>
        <v>0</v>
      </c>
      <c r="AB24" s="28">
        <f>AB12-AB16</f>
        <v>0</v>
      </c>
      <c r="AC24" s="28">
        <f>AC12-AC16</f>
        <v>0</v>
      </c>
      <c r="AD24" s="28">
        <f>AD12-AD16</f>
        <v>0</v>
      </c>
      <c r="AE24" s="28">
        <f>AE12-AE16</f>
        <v>0</v>
      </c>
      <c r="AF24" s="28">
        <f t="shared" si="14"/>
        <v>24938.456847489317</v>
      </c>
      <c r="AG24" s="175"/>
      <c r="AH24" s="183"/>
      <c r="AI24" s="183"/>
      <c r="AJ24" s="184"/>
      <c r="AK24" s="175"/>
      <c r="AL24" s="175"/>
      <c r="AM24" s="175"/>
      <c r="AN24" s="175"/>
      <c r="AO24" s="11"/>
      <c r="AP24" s="1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</row>
    <row r="25" spans="1:94" s="8" customFormat="1" ht="19.5" customHeight="1">
      <c r="A25" s="12" t="s">
        <v>158</v>
      </c>
      <c r="B25" s="28">
        <f>B27+B28+B29+B30+B31</f>
        <v>1817.3086673333335</v>
      </c>
      <c r="C25" s="28">
        <f aca="true" t="shared" si="16" ref="C25:AE25">C27+C28+C29+C30+C31</f>
        <v>0</v>
      </c>
      <c r="D25" s="28">
        <f t="shared" si="16"/>
        <v>0</v>
      </c>
      <c r="E25" s="28">
        <f t="shared" si="16"/>
        <v>751.7711786666667</v>
      </c>
      <c r="F25" s="28">
        <f t="shared" si="16"/>
        <v>1065.5374886666666</v>
      </c>
      <c r="G25" s="28">
        <f t="shared" si="16"/>
        <v>3760.1238586666673</v>
      </c>
      <c r="H25" s="28">
        <f t="shared" si="16"/>
        <v>1065.5374886666666</v>
      </c>
      <c r="I25" s="28">
        <f t="shared" si="16"/>
        <v>877.2777026666669</v>
      </c>
      <c r="J25" s="28">
        <f t="shared" si="16"/>
        <v>751.7711786666667</v>
      </c>
      <c r="K25" s="28">
        <f t="shared" si="16"/>
        <v>1065.5374886666666</v>
      </c>
      <c r="L25" s="28">
        <f t="shared" si="16"/>
        <v>3760.1238586666673</v>
      </c>
      <c r="M25" s="28">
        <f t="shared" si="16"/>
        <v>1065.5374886666666</v>
      </c>
      <c r="N25" s="28">
        <f t="shared" si="16"/>
        <v>877.2777026666669</v>
      </c>
      <c r="O25" s="28">
        <f t="shared" si="16"/>
        <v>751.7711786666667</v>
      </c>
      <c r="P25" s="28">
        <f t="shared" si="16"/>
        <v>1065.5374886666666</v>
      </c>
      <c r="Q25" s="28">
        <f t="shared" si="16"/>
        <v>3760.1238586666673</v>
      </c>
      <c r="R25" s="28">
        <f t="shared" si="16"/>
        <v>1065.5374886666666</v>
      </c>
      <c r="S25" s="28">
        <f t="shared" si="16"/>
        <v>877.2777026666669</v>
      </c>
      <c r="T25" s="28">
        <f t="shared" si="16"/>
        <v>751.7711786666667</v>
      </c>
      <c r="U25" s="28">
        <f t="shared" si="16"/>
        <v>1065.5374886666666</v>
      </c>
      <c r="V25" s="28">
        <f t="shared" si="16"/>
        <v>3760.1238586666673</v>
      </c>
      <c r="W25" s="28">
        <f t="shared" si="16"/>
        <v>1065.5374886666666</v>
      </c>
      <c r="X25" s="28">
        <f t="shared" si="16"/>
        <v>877.2777026666669</v>
      </c>
      <c r="Y25" s="28">
        <f t="shared" si="16"/>
        <v>751.7711786666667</v>
      </c>
      <c r="Z25" s="28">
        <f t="shared" si="16"/>
        <v>1065.5374886666666</v>
      </c>
      <c r="AA25" s="28">
        <f t="shared" si="16"/>
        <v>0</v>
      </c>
      <c r="AB25" s="28">
        <f t="shared" si="16"/>
        <v>0</v>
      </c>
      <c r="AC25" s="28">
        <f t="shared" si="16"/>
        <v>0</v>
      </c>
      <c r="AD25" s="28">
        <f t="shared" si="16"/>
        <v>0</v>
      </c>
      <c r="AE25" s="28">
        <f t="shared" si="16"/>
        <v>0</v>
      </c>
      <c r="AF25" s="28">
        <f t="shared" si="14"/>
        <v>16857.804102000002</v>
      </c>
      <c r="AG25" s="175"/>
      <c r="AH25" s="183"/>
      <c r="AI25" s="183"/>
      <c r="AJ25" s="184"/>
      <c r="AK25" s="175"/>
      <c r="AL25" s="175"/>
      <c r="AM25" s="175"/>
      <c r="AN25" s="175"/>
      <c r="AO25" s="11"/>
      <c r="AP25" s="1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</row>
    <row r="26" spans="1:94" s="8" customFormat="1" ht="15.75" customHeight="1">
      <c r="A26" s="12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si="13"/>
        <v>0</v>
      </c>
      <c r="W26" s="28"/>
      <c r="X26" s="28"/>
      <c r="Y26" s="28"/>
      <c r="Z26" s="28"/>
      <c r="AA26" s="29">
        <f t="shared" si="8"/>
        <v>0</v>
      </c>
      <c r="AB26" s="28"/>
      <c r="AC26" s="28"/>
      <c r="AD26" s="28"/>
      <c r="AE26" s="28"/>
      <c r="AF26" s="28">
        <f t="shared" si="14"/>
        <v>0</v>
      </c>
      <c r="AG26" s="175"/>
      <c r="AH26" s="183"/>
      <c r="AI26" s="183"/>
      <c r="AJ26" s="184"/>
      <c r="AK26" s="175"/>
      <c r="AL26" s="175"/>
      <c r="AM26" s="175"/>
      <c r="AN26" s="175"/>
      <c r="AO26" s="11"/>
      <c r="AP26" s="1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94" s="8" customFormat="1" ht="19.5" customHeight="1">
      <c r="A27" s="132" t="str">
        <f>'таблицы в текст'!B227</f>
        <v>Расходы на ФОТ</v>
      </c>
      <c r="B27" s="28">
        <f>SUM(C27:F27)</f>
        <v>967.44</v>
      </c>
      <c r="C27" s="28">
        <f>IF(C12=0,0,'таблицы в текст'!$C$227*'таблицы в текст'!$B$103)</f>
        <v>0</v>
      </c>
      <c r="D27" s="28">
        <f>IF(D12=0,0,'таблицы в текст'!$C$227*'таблицы в текст'!$C$103)</f>
        <v>0</v>
      </c>
      <c r="E27" s="28">
        <f>IF(E12=0,0,'таблицы в текст'!$C$227*'таблицы в текст'!$D$103)</f>
        <v>483.72</v>
      </c>
      <c r="F27" s="28">
        <f>IF(F12=0,0,'таблицы в текст'!$C$227*'таблицы в текст'!$E$103)</f>
        <v>483.72</v>
      </c>
      <c r="G27" s="28">
        <f>SUM(H27:K27)</f>
        <v>1934.88</v>
      </c>
      <c r="H27" s="28">
        <f>IF(H12=0,0,'таблицы в текст'!$C$227*'таблицы в текст'!$B$103)*H38</f>
        <v>483.72</v>
      </c>
      <c r="I27" s="28">
        <f>IF(I12=0,0,'таблицы в текст'!$C$227*'таблицы в текст'!$B$103)*I38</f>
        <v>483.72</v>
      </c>
      <c r="J27" s="28">
        <f>IF(J12=0,0,'таблицы в текст'!$C$227*'таблицы в текст'!$B$103)*J38</f>
        <v>483.72</v>
      </c>
      <c r="K27" s="28">
        <f>IF(K12=0,0,'таблицы в текст'!$C$227*'таблицы в текст'!$B$103)*K38</f>
        <v>483.72</v>
      </c>
      <c r="L27" s="28">
        <f>SUM(M27:P27)</f>
        <v>1934.88</v>
      </c>
      <c r="M27" s="28">
        <f>IF(M12=0,0,'таблицы в текст'!$C$227*'таблицы в текст'!$B$103)*M38</f>
        <v>483.72</v>
      </c>
      <c r="N27" s="28">
        <f>IF(N12=0,0,'таблицы в текст'!$C$227*'таблицы в текст'!$B$103)*N38</f>
        <v>483.72</v>
      </c>
      <c r="O27" s="28">
        <f>IF(O12=0,0,'таблицы в текст'!$C$227*'таблицы в текст'!$B$103)*O38</f>
        <v>483.72</v>
      </c>
      <c r="P27" s="28">
        <f>IF(P12=0,0,'таблицы в текст'!$C$227*'таблицы в текст'!$B$103)*P38</f>
        <v>483.72</v>
      </c>
      <c r="Q27" s="28">
        <f>SUM(R27:U27)</f>
        <v>1934.88</v>
      </c>
      <c r="R27" s="28">
        <f>IF(R12=0,0,'таблицы в текст'!$C$227*'таблицы в текст'!$B$103)*R38</f>
        <v>483.72</v>
      </c>
      <c r="S27" s="28">
        <f>IF(S12=0,0,'таблицы в текст'!$C$227*'таблицы в текст'!$B$103)*S38</f>
        <v>483.72</v>
      </c>
      <c r="T27" s="28">
        <f>IF(T12=0,0,'таблицы в текст'!$C$227*'таблицы в текст'!$B$103)*T38</f>
        <v>483.72</v>
      </c>
      <c r="U27" s="28">
        <f>IF(U12=0,0,'таблицы в текст'!$C$227*'таблицы в текст'!$B$103)*U38</f>
        <v>483.72</v>
      </c>
      <c r="V27" s="28">
        <f t="shared" si="13"/>
        <v>1934.88</v>
      </c>
      <c r="W27" s="28">
        <f>IF(W12=0,0,'таблицы в текст'!$C$227*'таблицы в текст'!$B$103)*W38</f>
        <v>483.72</v>
      </c>
      <c r="X27" s="28">
        <f>IF(X12=0,0,'таблицы в текст'!$C$227*'таблицы в текст'!$B$103)*X38</f>
        <v>483.72</v>
      </c>
      <c r="Y27" s="28">
        <f>IF(Y12=0,0,'таблицы в текст'!$C$227*'таблицы в текст'!$B$103)*Y38</f>
        <v>483.72</v>
      </c>
      <c r="Z27" s="28">
        <f>IF(Z12=0,0,'таблицы в текст'!$C$227*'таблицы в текст'!$B$103)*Z38</f>
        <v>483.72</v>
      </c>
      <c r="AA27" s="29">
        <f t="shared" si="8"/>
        <v>0</v>
      </c>
      <c r="AB27" s="28">
        <f>IF(AB12=0,0,'таблицы в текст'!$C$227*'таблицы в текст'!$B$103)*AB38</f>
        <v>0</v>
      </c>
      <c r="AC27" s="28">
        <f>IF(AC12=0,0,'таблицы в текст'!$C$227*'таблицы в текст'!$B$103)*AC38</f>
        <v>0</v>
      </c>
      <c r="AD27" s="28">
        <f>IF(AD12=0,0,'таблицы в текст'!$C$227*'таблицы в текст'!$B$103)*AD38</f>
        <v>0</v>
      </c>
      <c r="AE27" s="28">
        <f>IF(AE12=0,0,'таблицы в текст'!$C$227*'таблицы в текст'!$B$103)*AE38</f>
        <v>0</v>
      </c>
      <c r="AF27" s="28">
        <f t="shared" si="14"/>
        <v>8706.960000000001</v>
      </c>
      <c r="AG27" s="175"/>
      <c r="AH27" s="183"/>
      <c r="AI27" s="183"/>
      <c r="AJ27" s="184"/>
      <c r="AK27" s="175"/>
      <c r="AL27" s="175"/>
      <c r="AM27" s="175"/>
      <c r="AN27" s="175"/>
      <c r="AO27" s="11"/>
      <c r="AP27" s="1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</row>
    <row r="28" spans="1:94" s="8" customFormat="1" ht="19.5" customHeight="1">
      <c r="A28" s="132" t="str">
        <f>'таблицы в текст'!B230</f>
        <v>Расходы на отопление</v>
      </c>
      <c r="B28" s="28">
        <f>SUM(C28:F28)</f>
        <v>439.27283400000005</v>
      </c>
      <c r="C28" s="28">
        <f>IF(C12=0,0,'таблицы в текст'!$C$230*'таблицы в текст'!$B$103)</f>
        <v>0</v>
      </c>
      <c r="D28" s="28">
        <f>IF(D12=0,0,'таблицы в текст'!$C$230/8*1.5)</f>
        <v>0</v>
      </c>
      <c r="E28" s="28">
        <f>IF(E12=0,0,'таблицы в текст'!$C$230/8*0.5)</f>
        <v>62.75326200000001</v>
      </c>
      <c r="F28" s="28">
        <f>IF(F12=0,0,'таблицы в текст'!$C$230/8*3)</f>
        <v>376.51957200000004</v>
      </c>
      <c r="G28" s="28">
        <f>SUM(H28:K28)</f>
        <v>1004.052192</v>
      </c>
      <c r="H28" s="28">
        <f>IF(H12=0,0,'таблицы в текст'!$C$230/8*3)*H40</f>
        <v>376.51957200000004</v>
      </c>
      <c r="I28" s="28">
        <f>IF(I12=0,0,'таблицы в текст'!$C$230/8*1.5)*I40</f>
        <v>188.25978600000002</v>
      </c>
      <c r="J28" s="28">
        <f>IF(J12=0,0,'таблицы в текст'!$C$230/8*0.5)*J40</f>
        <v>62.75326200000001</v>
      </c>
      <c r="K28" s="28">
        <f>IF(K12=0,0,'таблицы в текст'!$C$230/8*3)*K40</f>
        <v>376.51957200000004</v>
      </c>
      <c r="L28" s="28">
        <f>SUM(M28:P28)</f>
        <v>1004.052192</v>
      </c>
      <c r="M28" s="28">
        <f>IF(M12=0,0,'таблицы в текст'!$C$230/8*3)*M40</f>
        <v>376.51957200000004</v>
      </c>
      <c r="N28" s="28">
        <f>IF(N12=0,0,'таблицы в текст'!$C$230/8*1.5)*N40</f>
        <v>188.25978600000002</v>
      </c>
      <c r="O28" s="28">
        <f>IF(O12=0,0,'таблицы в текст'!$C$230/8*0.5)*O40</f>
        <v>62.75326200000001</v>
      </c>
      <c r="P28" s="28">
        <f>IF(P12=0,0,'таблицы в текст'!$C$230/8*3)*P40</f>
        <v>376.51957200000004</v>
      </c>
      <c r="Q28" s="28">
        <f>SUM(R28:U28)</f>
        <v>1004.052192</v>
      </c>
      <c r="R28" s="28">
        <f>IF(R12=0,0,'таблицы в текст'!$C$230/8*3)*R40</f>
        <v>376.51957200000004</v>
      </c>
      <c r="S28" s="28">
        <f>IF(S12=0,0,'таблицы в текст'!$C$230/8*1.5)*S40</f>
        <v>188.25978600000002</v>
      </c>
      <c r="T28" s="28">
        <f>IF(T12=0,0,'таблицы в текст'!$C$230/8*0.5)*T40</f>
        <v>62.75326200000001</v>
      </c>
      <c r="U28" s="28">
        <f>IF(U12=0,0,'таблицы в текст'!$C$230/8*3)*U40</f>
        <v>376.51957200000004</v>
      </c>
      <c r="V28" s="28">
        <f t="shared" si="13"/>
        <v>1004.052192</v>
      </c>
      <c r="W28" s="28">
        <f>IF(W12=0,0,'таблицы в текст'!$C$230/8*3)*W40</f>
        <v>376.51957200000004</v>
      </c>
      <c r="X28" s="28">
        <f>IF(X12=0,0,'таблицы в текст'!$C$230/8*1.5)*X40</f>
        <v>188.25978600000002</v>
      </c>
      <c r="Y28" s="28">
        <f>IF(Y12=0,0,'таблицы в текст'!$C$230/8*0.5)*Y40</f>
        <v>62.75326200000001</v>
      </c>
      <c r="Z28" s="28">
        <f>IF(Z12=0,0,'таблицы в текст'!$C$230/8*3)*Z40</f>
        <v>376.51957200000004</v>
      </c>
      <c r="AA28" s="29">
        <f t="shared" si="8"/>
        <v>0</v>
      </c>
      <c r="AB28" s="28">
        <f>IF(AB12=0,0,'таблицы в текст'!$C$230*'таблицы в текст'!$B$103)*AB40</f>
        <v>0</v>
      </c>
      <c r="AC28" s="28">
        <f>IF(AC12=0,0,'таблицы в текст'!$C$230/8*1.5)*AC40</f>
        <v>0</v>
      </c>
      <c r="AD28" s="28">
        <f>IF(AD12=0,0,'таблицы в текст'!$C$230/8*0.5)*AD40</f>
        <v>0</v>
      </c>
      <c r="AE28" s="28">
        <f>IF(AE12=0,0,'таблицы в текст'!$C$230/8*3)*AE40</f>
        <v>0</v>
      </c>
      <c r="AF28" s="28">
        <f t="shared" si="14"/>
        <v>4455.481602</v>
      </c>
      <c r="AG28" s="175"/>
      <c r="AH28" s="183"/>
      <c r="AI28" s="183"/>
      <c r="AJ28" s="184"/>
      <c r="AK28" s="175"/>
      <c r="AL28" s="175"/>
      <c r="AM28" s="175"/>
      <c r="AN28" s="175"/>
      <c r="AO28" s="11"/>
      <c r="AP28" s="11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</row>
    <row r="29" spans="1:94" s="8" customFormat="1" ht="19.5" customHeight="1">
      <c r="A29" s="132" t="str">
        <f>'таблицы в текст'!B231</f>
        <v>Расходы на аренду</v>
      </c>
      <c r="B29" s="28">
        <f>SUM(C29:F29)</f>
        <v>0</v>
      </c>
      <c r="C29" s="28">
        <f>IF(C12=0,0,'таблицы в текст'!$C$231*'таблицы в текст'!$B$103)</f>
        <v>0</v>
      </c>
      <c r="D29" s="28">
        <f>IF(D12=0,0,'таблицы в текст'!$C$231*'таблицы в текст'!$C$103)</f>
        <v>0</v>
      </c>
      <c r="E29" s="28">
        <f>IF(E12=0,0,'таблицы в текст'!$C$231*'таблицы в текст'!$D$103)</f>
        <v>0</v>
      </c>
      <c r="F29" s="28">
        <f>IF(F12=0,0,'таблицы в текст'!$C$231*'таблицы в текст'!$E$103)</f>
        <v>0</v>
      </c>
      <c r="G29" s="28">
        <f>SUM(H29:K29)</f>
        <v>0</v>
      </c>
      <c r="H29" s="28">
        <f>IF(H12=0,0,'таблицы в текст'!$C$231*'таблицы в текст'!$B$103)*H38</f>
        <v>0</v>
      </c>
      <c r="I29" s="28">
        <f>IF(I12=0,0,'таблицы в текст'!$C$231*'таблицы в текст'!$C$103)*I38</f>
        <v>0</v>
      </c>
      <c r="J29" s="28">
        <f>IF(J12=0,0,'таблицы в текст'!$C$231*'таблицы в текст'!$C$103)*J38</f>
        <v>0</v>
      </c>
      <c r="K29" s="28">
        <f>IF(K12=0,0,'таблицы в текст'!$C$231*'таблицы в текст'!$C$103)*K38</f>
        <v>0</v>
      </c>
      <c r="L29" s="28">
        <f>SUM(M29:P29)</f>
        <v>0</v>
      </c>
      <c r="M29" s="28">
        <f>IF(M12=0,0,'таблицы в текст'!$C$231*'таблицы в текст'!$B$103)*M38</f>
        <v>0</v>
      </c>
      <c r="N29" s="28">
        <f>IF(N12=0,0,'таблицы в текст'!$C$231*'таблицы в текст'!$C$103)*N38</f>
        <v>0</v>
      </c>
      <c r="O29" s="28">
        <f>IF(O12=0,0,'таблицы в текст'!$C$231*'таблицы в текст'!$C$103)*O38</f>
        <v>0</v>
      </c>
      <c r="P29" s="28">
        <f>IF(P12=0,0,'таблицы в текст'!$C$231*'таблицы в текст'!$C$103)*P38</f>
        <v>0</v>
      </c>
      <c r="Q29" s="28">
        <f>SUM(R29:U29)</f>
        <v>0</v>
      </c>
      <c r="R29" s="28">
        <f>IF(R12=0,0,'таблицы в текст'!$C$231*'таблицы в текст'!$B$103)*R38</f>
        <v>0</v>
      </c>
      <c r="S29" s="28">
        <f>IF(S12=0,0,'таблицы в текст'!$C$231*'таблицы в текст'!$C$103)*S38</f>
        <v>0</v>
      </c>
      <c r="T29" s="28">
        <f>IF(T12=0,0,'таблицы в текст'!$C$231*'таблицы в текст'!$C$103)*T38</f>
        <v>0</v>
      </c>
      <c r="U29" s="28">
        <f>IF(U12=0,0,'таблицы в текст'!$C$231*'таблицы в текст'!$C$103)*U38</f>
        <v>0</v>
      </c>
      <c r="V29" s="28">
        <f t="shared" si="13"/>
        <v>0</v>
      </c>
      <c r="W29" s="28">
        <f>IF(W12=0,0,'таблицы в текст'!$C$231*'таблицы в текст'!$B$103)*W38</f>
        <v>0</v>
      </c>
      <c r="X29" s="28">
        <f>IF(X12=0,0,'таблицы в текст'!$C$231*'таблицы в текст'!$C$103)*X38</f>
        <v>0</v>
      </c>
      <c r="Y29" s="28">
        <f>IF(Y12=0,0,'таблицы в текст'!$C$231*'таблицы в текст'!$C$103)*Y38</f>
        <v>0</v>
      </c>
      <c r="Z29" s="28">
        <f>IF(Z12=0,0,'таблицы в текст'!$C$231*'таблицы в текст'!$C$103)*Z38</f>
        <v>0</v>
      </c>
      <c r="AA29" s="29">
        <f t="shared" si="8"/>
        <v>0</v>
      </c>
      <c r="AB29" s="28">
        <f>IF(AB12=0,0,'таблицы в текст'!$C$231*'таблицы в текст'!$B$103)*AB38</f>
        <v>0</v>
      </c>
      <c r="AC29" s="28">
        <f>IF(AC12=0,0,'таблицы в текст'!$C$231*'таблицы в текст'!$C$103)*AC38</f>
        <v>0</v>
      </c>
      <c r="AD29" s="28">
        <f>IF(AD12=0,0,'таблицы в текст'!$C$231*'таблицы в текст'!$C$103)*AD38</f>
        <v>0</v>
      </c>
      <c r="AE29" s="28">
        <f>IF(AE12=0,0,'таблицы в текст'!$C$231*'таблицы в текст'!$C$103)*AE38</f>
        <v>0</v>
      </c>
      <c r="AF29" s="28">
        <f t="shared" si="14"/>
        <v>0</v>
      </c>
      <c r="AG29" s="175"/>
      <c r="AH29" s="183"/>
      <c r="AI29" s="183"/>
      <c r="AJ29" s="184"/>
      <c r="AK29" s="175"/>
      <c r="AL29" s="175"/>
      <c r="AM29" s="175"/>
      <c r="AN29" s="175"/>
      <c r="AO29" s="11"/>
      <c r="AP29" s="11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</row>
    <row r="30" spans="1:94" s="8" customFormat="1" ht="19.5" customHeight="1">
      <c r="A30" s="132" t="str">
        <f>'таблицы в текст'!B233</f>
        <v>Амортизация</v>
      </c>
      <c r="B30" s="28">
        <f>SUM(C30:F30)</f>
        <v>340.83333333333337</v>
      </c>
      <c r="C30" s="28">
        <f>IF(C12=0,0,'таблицы в текст'!$C$233*'таблицы в текст'!$B$103)</f>
        <v>0</v>
      </c>
      <c r="D30" s="28">
        <f>IF(D12=0,0,'таблицы в текст'!$C$233*'таблицы в текст'!$C$103)</f>
        <v>0</v>
      </c>
      <c r="E30" s="28">
        <f>IF(E12=0,0,'таблицы в текст'!$C$233*'таблицы в текст'!$D$103)</f>
        <v>170.41666666666669</v>
      </c>
      <c r="F30" s="28">
        <f>IF(F12=0,0,'таблицы в текст'!$C$233*'таблицы в текст'!$E$103)</f>
        <v>170.41666666666669</v>
      </c>
      <c r="G30" s="28">
        <f>SUM(H30:K30)</f>
        <v>681.6666666666667</v>
      </c>
      <c r="H30" s="28">
        <f>IF(H12=0,0,'таблицы в текст'!$C$233*'таблицы в текст'!$B$103)</f>
        <v>170.41666666666669</v>
      </c>
      <c r="I30" s="28">
        <f>IF(I12=0,0,'таблицы в текст'!$C$233*'таблицы в текст'!$C$103)</f>
        <v>170.41666666666669</v>
      </c>
      <c r="J30" s="28">
        <f>IF(J12=0,0,'таблицы в текст'!$C$233*'таблицы в текст'!$D$103)</f>
        <v>170.41666666666669</v>
      </c>
      <c r="K30" s="28">
        <f>IF(K12=0,0,'таблицы в текст'!$C$233*'таблицы в текст'!$E$103)</f>
        <v>170.41666666666669</v>
      </c>
      <c r="L30" s="28">
        <f>SUM(M30:P30)</f>
        <v>681.6666666666667</v>
      </c>
      <c r="M30" s="28">
        <f>IF(M12=0,0,'таблицы в текст'!$C$233*'таблицы в текст'!$B$103)</f>
        <v>170.41666666666669</v>
      </c>
      <c r="N30" s="28">
        <f>IF(N12=0,0,'таблицы в текст'!$C$233*'таблицы в текст'!$C$103)</f>
        <v>170.41666666666669</v>
      </c>
      <c r="O30" s="28">
        <f>IF(O12=0,0,'таблицы в текст'!$C$233*'таблицы в текст'!$D$103)</f>
        <v>170.41666666666669</v>
      </c>
      <c r="P30" s="28">
        <f>IF(P12=0,0,'таблицы в текст'!$C$233*'таблицы в текст'!$E$103)</f>
        <v>170.41666666666669</v>
      </c>
      <c r="Q30" s="28">
        <f>SUM(R30:U30)</f>
        <v>681.6666666666667</v>
      </c>
      <c r="R30" s="28">
        <f>IF(R12=0,0,'таблицы в текст'!$C$233*'таблицы в текст'!$B$103)</f>
        <v>170.41666666666669</v>
      </c>
      <c r="S30" s="28">
        <f>IF(S12=0,0,'таблицы в текст'!$C$233*'таблицы в текст'!$C$103)</f>
        <v>170.41666666666669</v>
      </c>
      <c r="T30" s="28">
        <f>IF(T12=0,0,'таблицы в текст'!$C$233*'таблицы в текст'!$D$103)</f>
        <v>170.41666666666669</v>
      </c>
      <c r="U30" s="28">
        <f>IF(U12=0,0,'таблицы в текст'!$C$233*'таблицы в текст'!$E$103)</f>
        <v>170.41666666666669</v>
      </c>
      <c r="V30" s="28">
        <f t="shared" si="13"/>
        <v>681.6666666666667</v>
      </c>
      <c r="W30" s="28">
        <f>IF(W12=0,0,'таблицы в текст'!$C$233*'таблицы в текст'!$B$103)</f>
        <v>170.41666666666669</v>
      </c>
      <c r="X30" s="28">
        <f>IF(X12=0,0,'таблицы в текст'!$C$233*'таблицы в текст'!$C$103)</f>
        <v>170.41666666666669</v>
      </c>
      <c r="Y30" s="28">
        <f>IF(Y12=0,0,'таблицы в текст'!$C$233*'таблицы в текст'!$D$103)</f>
        <v>170.41666666666669</v>
      </c>
      <c r="Z30" s="28">
        <f>IF(Z12=0,0,'таблицы в текст'!$C$233*'таблицы в текст'!$E$103)</f>
        <v>170.41666666666669</v>
      </c>
      <c r="AA30" s="29">
        <f t="shared" si="8"/>
        <v>0</v>
      </c>
      <c r="AB30" s="28">
        <f>IF(AB12=0,0,'таблицы в текст'!$C$233*'таблицы в текст'!$B$103)</f>
        <v>0</v>
      </c>
      <c r="AC30" s="28">
        <f>IF(AC12=0,0,'таблицы в текст'!$C$233*'таблицы в текст'!$C$103)</f>
        <v>0</v>
      </c>
      <c r="AD30" s="28">
        <f>IF(AD12=0,0,'таблицы в текст'!$C$233*'таблицы в текст'!$D$103)</f>
        <v>0</v>
      </c>
      <c r="AE30" s="28">
        <f>IF(AE12=0,0,'таблицы в текст'!$C$233*'таблицы в текст'!$E$103)</f>
        <v>0</v>
      </c>
      <c r="AF30" s="28">
        <f t="shared" si="14"/>
        <v>3067.5000000000005</v>
      </c>
      <c r="AG30" s="175"/>
      <c r="AH30" s="183"/>
      <c r="AI30" s="183"/>
      <c r="AJ30" s="184"/>
      <c r="AK30" s="175"/>
      <c r="AL30" s="175"/>
      <c r="AM30" s="175"/>
      <c r="AN30" s="175"/>
      <c r="AO30" s="11"/>
      <c r="AP30" s="11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s="8" customFormat="1" ht="19.5" customHeight="1">
      <c r="A31" s="132" t="str">
        <f>'таблицы в текст'!B234</f>
        <v>Прочие расходы</v>
      </c>
      <c r="B31" s="28">
        <f>SUM(C31:F31)</f>
        <v>69.7625</v>
      </c>
      <c r="C31" s="28">
        <f>IF(C12=0,0,'таблицы в текст'!$C$234*'таблицы в текст'!$B$103)</f>
        <v>0</v>
      </c>
      <c r="D31" s="28">
        <f>IF(D12=0,0,'таблицы в текст'!$C$234*'таблицы в текст'!$C$103)</f>
        <v>0</v>
      </c>
      <c r="E31" s="28">
        <f>IF(E12=0,0,'таблицы в текст'!$C$234*'таблицы в текст'!$D$103)</f>
        <v>34.88125</v>
      </c>
      <c r="F31" s="28">
        <f>IF(F12=0,0,'таблицы в текст'!$C$234*'таблицы в текст'!$E$103)</f>
        <v>34.88125</v>
      </c>
      <c r="G31" s="28">
        <f>SUM(H31:K31)</f>
        <v>139.525</v>
      </c>
      <c r="H31" s="28">
        <f>IF(H12=0,0,'таблицы в текст'!$C$234*'таблицы в текст'!$B$103)*H38</f>
        <v>34.88125</v>
      </c>
      <c r="I31" s="28">
        <f>IF(I12=0,0,'таблицы в текст'!$C$234*'таблицы в текст'!$B$103)*I38</f>
        <v>34.88125</v>
      </c>
      <c r="J31" s="28">
        <f>IF(J12=0,0,'таблицы в текст'!$C$234*'таблицы в текст'!$B$103)*J38</f>
        <v>34.88125</v>
      </c>
      <c r="K31" s="28">
        <f>IF(K12=0,0,'таблицы в текст'!$C$234*'таблицы в текст'!$B$103)*K38</f>
        <v>34.88125</v>
      </c>
      <c r="L31" s="28">
        <f>SUM(M31:P31)</f>
        <v>139.525</v>
      </c>
      <c r="M31" s="28">
        <f>IF(M12=0,0,'таблицы в текст'!$C$234*'таблицы в текст'!$B$103)*M38</f>
        <v>34.88125</v>
      </c>
      <c r="N31" s="28">
        <f>IF(N12=0,0,'таблицы в текст'!$C$234*'таблицы в текст'!$B$103)*N38</f>
        <v>34.88125</v>
      </c>
      <c r="O31" s="28">
        <f>IF(O12=0,0,'таблицы в текст'!$C$234*'таблицы в текст'!$B$103)*O38</f>
        <v>34.88125</v>
      </c>
      <c r="P31" s="28">
        <f>IF(P12=0,0,'таблицы в текст'!$C$234*'таблицы в текст'!$B$103)*P38</f>
        <v>34.88125</v>
      </c>
      <c r="Q31" s="28">
        <f>SUM(R31:U31)</f>
        <v>139.525</v>
      </c>
      <c r="R31" s="28">
        <f>IF(R12=0,0,'таблицы в текст'!$C$234*'таблицы в текст'!$B$103)*R38</f>
        <v>34.88125</v>
      </c>
      <c r="S31" s="28">
        <f>IF(S12=0,0,'таблицы в текст'!$C$234*'таблицы в текст'!$B$103)*S38</f>
        <v>34.88125</v>
      </c>
      <c r="T31" s="28">
        <f>IF(T12=0,0,'таблицы в текст'!$C$234*'таблицы в текст'!$B$103)*T38</f>
        <v>34.88125</v>
      </c>
      <c r="U31" s="28">
        <f>IF(U12=0,0,'таблицы в текст'!$C$234*'таблицы в текст'!$B$103)*U38</f>
        <v>34.88125</v>
      </c>
      <c r="V31" s="28">
        <f t="shared" si="13"/>
        <v>139.525</v>
      </c>
      <c r="W31" s="28">
        <f>IF(W12=0,0,'таблицы в текст'!$C$234*'таблицы в текст'!$B$103)*W38</f>
        <v>34.88125</v>
      </c>
      <c r="X31" s="28">
        <f>IF(X12=0,0,'таблицы в текст'!$C$234*'таблицы в текст'!$B$103)*X38</f>
        <v>34.88125</v>
      </c>
      <c r="Y31" s="28">
        <f>IF(Y12=0,0,'таблицы в текст'!$C$234*'таблицы в текст'!$B$103)*Y38</f>
        <v>34.88125</v>
      </c>
      <c r="Z31" s="28">
        <f>IF(Z12=0,0,'таблицы в текст'!$C$234*'таблицы в текст'!$B$103)*Z38</f>
        <v>34.88125</v>
      </c>
      <c r="AA31" s="29">
        <f t="shared" si="8"/>
        <v>0</v>
      </c>
      <c r="AB31" s="28">
        <f>IF(AB12=0,0,'таблицы в текст'!$C$234*'таблицы в текст'!$B$103)*AB38</f>
        <v>0</v>
      </c>
      <c r="AC31" s="28">
        <f>IF(AC12=0,0,'таблицы в текст'!$C$234*'таблицы в текст'!$B$103)*AC38</f>
        <v>0</v>
      </c>
      <c r="AD31" s="28">
        <f>IF(AD12=0,0,'таблицы в текст'!$C$234*'таблицы в текст'!$B$103)*AD38</f>
        <v>0</v>
      </c>
      <c r="AE31" s="28">
        <f>IF(AE12=0,0,'таблицы в текст'!$C$234*'таблицы в текст'!$B$103)*AE38</f>
        <v>0</v>
      </c>
      <c r="AF31" s="28">
        <f t="shared" si="14"/>
        <v>627.8625000000001</v>
      </c>
      <c r="AG31" s="175"/>
      <c r="AH31" s="183"/>
      <c r="AI31" s="183"/>
      <c r="AJ31" s="184"/>
      <c r="AK31" s="175"/>
      <c r="AL31" s="175"/>
      <c r="AM31" s="175"/>
      <c r="AN31" s="175"/>
      <c r="AO31" s="11"/>
      <c r="AP31" s="11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s="8" customFormat="1" ht="16.5" customHeight="1">
      <c r="A32" s="19" t="s">
        <v>164</v>
      </c>
      <c r="B32" s="28">
        <f>B24-B25</f>
        <v>482.51528815598044</v>
      </c>
      <c r="C32" s="28">
        <f aca="true" t="shared" si="17" ref="C32:AF32">C24-C25</f>
        <v>0</v>
      </c>
      <c r="D32" s="28">
        <f t="shared" si="17"/>
        <v>0</v>
      </c>
      <c r="E32" s="28">
        <f t="shared" si="17"/>
        <v>173.1407990779902</v>
      </c>
      <c r="F32" s="28">
        <f t="shared" si="17"/>
        <v>309.37448907799035</v>
      </c>
      <c r="G32" s="28">
        <f t="shared" si="17"/>
        <v>1899.534364333333</v>
      </c>
      <c r="H32" s="28">
        <f t="shared" si="17"/>
        <v>309.37448907799035</v>
      </c>
      <c r="I32" s="28">
        <f t="shared" si="17"/>
        <v>497.6342750779901</v>
      </c>
      <c r="J32" s="28">
        <f t="shared" si="17"/>
        <v>783.1511110993625</v>
      </c>
      <c r="K32" s="28">
        <f t="shared" si="17"/>
        <v>309.37448907799035</v>
      </c>
      <c r="L32" s="28">
        <f t="shared" si="17"/>
        <v>1899.534364333333</v>
      </c>
      <c r="M32" s="28">
        <f t="shared" si="17"/>
        <v>309.37448907799035</v>
      </c>
      <c r="N32" s="28">
        <f t="shared" si="17"/>
        <v>497.6342750779901</v>
      </c>
      <c r="O32" s="28">
        <f t="shared" si="17"/>
        <v>783.1511110993625</v>
      </c>
      <c r="P32" s="28">
        <f t="shared" si="17"/>
        <v>309.37448907799035</v>
      </c>
      <c r="Q32" s="28">
        <f t="shared" si="17"/>
        <v>1899.534364333333</v>
      </c>
      <c r="R32" s="28">
        <f t="shared" si="17"/>
        <v>309.37448907799035</v>
      </c>
      <c r="S32" s="28">
        <f t="shared" si="17"/>
        <v>497.6342750779901</v>
      </c>
      <c r="T32" s="28">
        <f t="shared" si="17"/>
        <v>783.1511110993625</v>
      </c>
      <c r="U32" s="28">
        <f t="shared" si="17"/>
        <v>309.37448907799035</v>
      </c>
      <c r="V32" s="28">
        <f t="shared" si="17"/>
        <v>1899.5343643333322</v>
      </c>
      <c r="W32" s="28">
        <f t="shared" si="17"/>
        <v>309.37448907799035</v>
      </c>
      <c r="X32" s="28">
        <f t="shared" si="17"/>
        <v>497.6342750779901</v>
      </c>
      <c r="Y32" s="28">
        <f t="shared" si="17"/>
        <v>783.1511110993625</v>
      </c>
      <c r="Z32" s="28">
        <f t="shared" si="17"/>
        <v>309.37448907799035</v>
      </c>
      <c r="AA32" s="28">
        <f t="shared" si="17"/>
        <v>0</v>
      </c>
      <c r="AB32" s="28">
        <f t="shared" si="17"/>
        <v>0</v>
      </c>
      <c r="AC32" s="28">
        <f t="shared" si="17"/>
        <v>0</v>
      </c>
      <c r="AD32" s="28">
        <f t="shared" si="17"/>
        <v>0</v>
      </c>
      <c r="AE32" s="28">
        <f t="shared" si="17"/>
        <v>0</v>
      </c>
      <c r="AF32" s="28">
        <f t="shared" si="17"/>
        <v>8080.652745489315</v>
      </c>
      <c r="AG32" s="175"/>
      <c r="AH32" s="183"/>
      <c r="AI32" s="183"/>
      <c r="AJ32" s="184"/>
      <c r="AK32" s="175"/>
      <c r="AL32" s="175"/>
      <c r="AM32" s="175"/>
      <c r="AN32" s="175"/>
      <c r="AO32" s="11"/>
      <c r="AP32" s="11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</row>
    <row r="33" spans="1:94" s="122" customFormat="1" ht="21" customHeight="1">
      <c r="A33" s="19" t="s">
        <v>39</v>
      </c>
      <c r="B33" s="29">
        <f>SUM(C33:F33)</f>
        <v>201.64383561643834</v>
      </c>
      <c r="C33" s="29">
        <f>IF(C12=0,0,'таблицы в текст'!C282)</f>
        <v>0</v>
      </c>
      <c r="D33" s="29">
        <f>IF(D12=0,0,'таблицы в текст'!D282)</f>
        <v>0</v>
      </c>
      <c r="E33" s="29">
        <f>IF(E12=0,0,'таблицы в текст'!E282)</f>
        <v>100.82191780821917</v>
      </c>
      <c r="F33" s="29">
        <f>IF(F12=0,0,'таблицы в текст'!F282)</f>
        <v>100.82191780821917</v>
      </c>
      <c r="G33" s="29">
        <f>SUM(H33:K33)</f>
        <v>350.2186469777991</v>
      </c>
      <c r="H33" s="29">
        <f>IF(H12=0,0,'таблицы в текст'!C289)</f>
        <v>93.85313428809745</v>
      </c>
      <c r="I33" s="29">
        <f>IF(I12=0,0,'таблицы в текст'!D289)</f>
        <v>89.9268725660861</v>
      </c>
      <c r="J33" s="29">
        <f>IF(J12=0,0,'таблицы в текст'!E289)</f>
        <v>85.81222977201882</v>
      </c>
      <c r="K33" s="29">
        <f>IF(K12=0,0,'таблицы в текст'!F289)</f>
        <v>80.62641035159668</v>
      </c>
      <c r="L33" s="29">
        <f>SUM(M33:P33)</f>
        <v>265.9945631665244</v>
      </c>
      <c r="M33" s="29">
        <f>'таблицы в текст'!C296</f>
        <v>73.69828246888014</v>
      </c>
      <c r="N33" s="29">
        <f>'таблицы в текст'!D296</f>
        <v>69.14608528793532</v>
      </c>
      <c r="O33" s="29">
        <f>'таблицы в текст'!E296</f>
        <v>64.38405042871855</v>
      </c>
      <c r="P33" s="29">
        <f>'таблицы в текст'!F296</f>
        <v>58.76614498099041</v>
      </c>
      <c r="Q33" s="29">
        <f>SUM(R33:U33)</f>
        <v>174.82771199107202</v>
      </c>
      <c r="R33" s="29">
        <f>'таблицы в текст'!C303</f>
        <v>51.8820240648925</v>
      </c>
      <c r="S33" s="29">
        <f>'таблицы в текст'!D303</f>
        <v>46.6522942561319</v>
      </c>
      <c r="T33" s="29">
        <f>'таблицы в текст'!E303</f>
        <v>41.189501449961384</v>
      </c>
      <c r="U33" s="29">
        <f>'таблицы в текст'!F303</f>
        <v>35.10389222008625</v>
      </c>
      <c r="V33" s="28">
        <f t="shared" si="13"/>
        <v>76.14578661838566</v>
      </c>
      <c r="W33" s="29">
        <f>'таблицы в текст'!C310</f>
        <v>28.26740585689594</v>
      </c>
      <c r="X33" s="29">
        <f>'таблицы в текст'!D310</f>
        <v>22.304292988902525</v>
      </c>
      <c r="Y33" s="29">
        <f>'таблицы в текст'!E310</f>
        <v>16.082977292734164</v>
      </c>
      <c r="Z33" s="29">
        <f>'таблицы в текст'!F310</f>
        <v>9.491110479853022</v>
      </c>
      <c r="AA33" s="29">
        <f>SUM(AB33:AE33)</f>
        <v>0</v>
      </c>
      <c r="AB33" s="29">
        <f>'таблицы в текст'!C317</f>
        <v>0</v>
      </c>
      <c r="AC33" s="29">
        <f>'таблицы в текст'!D317</f>
        <v>0</v>
      </c>
      <c r="AD33" s="29">
        <f>'таблицы в текст'!E317</f>
        <v>0</v>
      </c>
      <c r="AE33" s="29">
        <f>'таблицы в текст'!F317</f>
        <v>0</v>
      </c>
      <c r="AF33" s="28">
        <f t="shared" si="14"/>
        <v>1068.8305443702195</v>
      </c>
      <c r="AG33" s="185"/>
      <c r="AH33" s="183"/>
      <c r="AI33" s="183"/>
      <c r="AJ33" s="184"/>
      <c r="AK33" s="185"/>
      <c r="AL33" s="185"/>
      <c r="AM33" s="185"/>
      <c r="AN33" s="185"/>
      <c r="AO33" s="6"/>
      <c r="AP33" s="6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</row>
    <row r="34" spans="1:94" s="122" customFormat="1" ht="18.75" customHeight="1">
      <c r="A34" s="12" t="s">
        <v>40</v>
      </c>
      <c r="B34" s="28">
        <f aca="true" t="shared" si="18" ref="B34:K34">B32-B33</f>
        <v>280.87145253954213</v>
      </c>
      <c r="C34" s="28">
        <f t="shared" si="18"/>
        <v>0</v>
      </c>
      <c r="D34" s="28">
        <f t="shared" si="18"/>
        <v>0</v>
      </c>
      <c r="E34" s="28">
        <f t="shared" si="18"/>
        <v>72.31888126977104</v>
      </c>
      <c r="F34" s="28">
        <f t="shared" si="18"/>
        <v>208.5525712697712</v>
      </c>
      <c r="G34" s="28">
        <f t="shared" si="18"/>
        <v>1549.315717355534</v>
      </c>
      <c r="H34" s="28">
        <f t="shared" si="18"/>
        <v>215.52135478989288</v>
      </c>
      <c r="I34" s="28">
        <f t="shared" si="18"/>
        <v>407.707402511904</v>
      </c>
      <c r="J34" s="28">
        <f t="shared" si="18"/>
        <v>697.3388813273438</v>
      </c>
      <c r="K34" s="28">
        <f t="shared" si="18"/>
        <v>228.74807872639366</v>
      </c>
      <c r="L34" s="28">
        <f aca="true" t="shared" si="19" ref="L34:AE34">L32-L33</f>
        <v>1633.5398011668087</v>
      </c>
      <c r="M34" s="28">
        <f t="shared" si="19"/>
        <v>235.6762066091102</v>
      </c>
      <c r="N34" s="28">
        <f t="shared" si="19"/>
        <v>428.4881897900548</v>
      </c>
      <c r="O34" s="28">
        <f t="shared" si="19"/>
        <v>718.767060670644</v>
      </c>
      <c r="P34" s="28">
        <f t="shared" si="19"/>
        <v>250.60834409699993</v>
      </c>
      <c r="Q34" s="28">
        <f t="shared" si="19"/>
        <v>1724.7066523422611</v>
      </c>
      <c r="R34" s="28">
        <f t="shared" si="19"/>
        <v>257.49246501309784</v>
      </c>
      <c r="S34" s="28">
        <f t="shared" si="19"/>
        <v>450.9819808218582</v>
      </c>
      <c r="T34" s="28">
        <f t="shared" si="19"/>
        <v>741.9616096494011</v>
      </c>
      <c r="U34" s="28">
        <f t="shared" si="19"/>
        <v>274.2705968579041</v>
      </c>
      <c r="V34" s="28">
        <f t="shared" si="19"/>
        <v>1823.3885777149465</v>
      </c>
      <c r="W34" s="28">
        <f t="shared" si="19"/>
        <v>281.1070832210944</v>
      </c>
      <c r="X34" s="28">
        <f t="shared" si="19"/>
        <v>475.32998208908754</v>
      </c>
      <c r="Y34" s="28">
        <f t="shared" si="19"/>
        <v>767.0681338066283</v>
      </c>
      <c r="Z34" s="28">
        <f t="shared" si="19"/>
        <v>299.8833785981373</v>
      </c>
      <c r="AA34" s="28">
        <f t="shared" si="19"/>
        <v>0</v>
      </c>
      <c r="AB34" s="28">
        <f t="shared" si="19"/>
        <v>0</v>
      </c>
      <c r="AC34" s="28">
        <f t="shared" si="19"/>
        <v>0</v>
      </c>
      <c r="AD34" s="28">
        <f t="shared" si="19"/>
        <v>0</v>
      </c>
      <c r="AE34" s="28">
        <f t="shared" si="19"/>
        <v>0</v>
      </c>
      <c r="AF34" s="28">
        <f t="shared" si="14"/>
        <v>7011.822201119092</v>
      </c>
      <c r="AG34" s="185"/>
      <c r="AH34" s="183"/>
      <c r="AI34" s="183"/>
      <c r="AJ34" s="184"/>
      <c r="AK34" s="185"/>
      <c r="AL34" s="185"/>
      <c r="AM34" s="185"/>
      <c r="AN34" s="185"/>
      <c r="AO34" s="6"/>
      <c r="AP34" s="6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</row>
    <row r="35" spans="1:94" s="122" customFormat="1" ht="18.75" customHeight="1">
      <c r="A35" s="12" t="s">
        <v>261</v>
      </c>
      <c r="B35" s="28">
        <f>SUM(C35:F35)</f>
        <v>16.852287152372533</v>
      </c>
      <c r="C35" s="28">
        <f>C34*0.06</f>
        <v>0</v>
      </c>
      <c r="D35" s="28">
        <f>D34*0.06</f>
        <v>0</v>
      </c>
      <c r="E35" s="28">
        <f>E34*0.06</f>
        <v>4.339132876186262</v>
      </c>
      <c r="F35" s="28">
        <f>F34*0.06</f>
        <v>12.51315427618627</v>
      </c>
      <c r="G35" s="28">
        <f>SUM(H35:K35)</f>
        <v>92.95894304133205</v>
      </c>
      <c r="H35" s="28">
        <f>H34*0.06</f>
        <v>12.931281287393572</v>
      </c>
      <c r="I35" s="28">
        <f>I34*0.06</f>
        <v>24.462444150714237</v>
      </c>
      <c r="J35" s="28">
        <f>J34*0.06</f>
        <v>41.84033287964063</v>
      </c>
      <c r="K35" s="28">
        <f>K34*0.06</f>
        <v>13.724884723583619</v>
      </c>
      <c r="L35" s="28">
        <f>SUM(M35:P35)</f>
        <v>98.01238807000854</v>
      </c>
      <c r="M35" s="28">
        <f>M34*0.06</f>
        <v>14.140572396546611</v>
      </c>
      <c r="N35" s="28">
        <f>N34*0.06</f>
        <v>25.709291387403287</v>
      </c>
      <c r="O35" s="28">
        <f>O34*0.06</f>
        <v>43.12602364023864</v>
      </c>
      <c r="P35" s="28">
        <f>P34*0.06</f>
        <v>15.036500645819995</v>
      </c>
      <c r="Q35" s="28">
        <f>SUM(R35:U35)</f>
        <v>103.48239914053568</v>
      </c>
      <c r="R35" s="28">
        <f>R34*0.06</f>
        <v>15.44954790078587</v>
      </c>
      <c r="S35" s="28">
        <f>S34*0.06</f>
        <v>27.058918849311492</v>
      </c>
      <c r="T35" s="28">
        <f>T34*0.06</f>
        <v>44.51769657896406</v>
      </c>
      <c r="U35" s="28">
        <f>U34*0.06</f>
        <v>16.456235811474244</v>
      </c>
      <c r="V35" s="28">
        <f>SUM(W35:Z35)</f>
        <v>109.40331466289685</v>
      </c>
      <c r="W35" s="28">
        <f>W34*0.06</f>
        <v>16.866424993265664</v>
      </c>
      <c r="X35" s="28">
        <f>X34*0.06</f>
        <v>28.519798925345253</v>
      </c>
      <c r="Y35" s="28">
        <f>Y34*0.06</f>
        <v>46.0240880283977</v>
      </c>
      <c r="Z35" s="28">
        <f>Z34*0.06</f>
        <v>17.993002715888238</v>
      </c>
      <c r="AA35" s="28">
        <f>SUM(AB35:AE35)</f>
        <v>0</v>
      </c>
      <c r="AB35" s="28">
        <f>AB34*0.06</f>
        <v>0</v>
      </c>
      <c r="AC35" s="28">
        <f>AC34*0.06</f>
        <v>0</v>
      </c>
      <c r="AD35" s="28">
        <f>AD34*0.06</f>
        <v>0</v>
      </c>
      <c r="AE35" s="28">
        <f>AE34*0.06</f>
        <v>0</v>
      </c>
      <c r="AF35" s="28">
        <f t="shared" si="14"/>
        <v>420.7093320671457</v>
      </c>
      <c r="AG35" s="185"/>
      <c r="AH35" s="183"/>
      <c r="AI35" s="183"/>
      <c r="AJ35" s="184"/>
      <c r="AK35" s="185"/>
      <c r="AL35" s="185"/>
      <c r="AM35" s="185"/>
      <c r="AN35" s="185"/>
      <c r="AO35" s="6"/>
      <c r="AP35" s="6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</row>
    <row r="36" spans="1:94" s="140" customFormat="1" ht="19.5" customHeight="1">
      <c r="A36" s="138" t="s">
        <v>41</v>
      </c>
      <c r="B36" s="139">
        <f aca="true" t="shared" si="20" ref="B36:AF36">B34-B35</f>
        <v>264.0191653871696</v>
      </c>
      <c r="C36" s="139">
        <f t="shared" si="20"/>
        <v>0</v>
      </c>
      <c r="D36" s="139">
        <f t="shared" si="20"/>
        <v>0</v>
      </c>
      <c r="E36" s="139">
        <f t="shared" si="20"/>
        <v>67.97974839358477</v>
      </c>
      <c r="F36" s="139">
        <f t="shared" si="20"/>
        <v>196.03941699358492</v>
      </c>
      <c r="G36" s="139">
        <f t="shared" si="20"/>
        <v>1456.3567743142019</v>
      </c>
      <c r="H36" s="139">
        <f t="shared" si="20"/>
        <v>202.5900735024993</v>
      </c>
      <c r="I36" s="139">
        <f t="shared" si="20"/>
        <v>383.24495836118973</v>
      </c>
      <c r="J36" s="139">
        <f t="shared" si="20"/>
        <v>655.4985484477031</v>
      </c>
      <c r="K36" s="139">
        <f t="shared" si="20"/>
        <v>215.02319400281004</v>
      </c>
      <c r="L36" s="139">
        <f t="shared" si="20"/>
        <v>1535.5274130968003</v>
      </c>
      <c r="M36" s="139">
        <f t="shared" si="20"/>
        <v>221.5356342125636</v>
      </c>
      <c r="N36" s="139">
        <f t="shared" si="20"/>
        <v>402.77889840265146</v>
      </c>
      <c r="O36" s="139">
        <f t="shared" si="20"/>
        <v>675.6410370304054</v>
      </c>
      <c r="P36" s="139">
        <f t="shared" si="20"/>
        <v>235.57184345117994</v>
      </c>
      <c r="Q36" s="139">
        <f t="shared" si="20"/>
        <v>1621.2242532017253</v>
      </c>
      <c r="R36" s="139">
        <f t="shared" si="20"/>
        <v>242.04291711231198</v>
      </c>
      <c r="S36" s="139">
        <f t="shared" si="20"/>
        <v>423.9230619725467</v>
      </c>
      <c r="T36" s="139">
        <f t="shared" si="20"/>
        <v>697.443913070437</v>
      </c>
      <c r="U36" s="139">
        <f t="shared" si="20"/>
        <v>257.81436104642984</v>
      </c>
      <c r="V36" s="139">
        <f t="shared" si="20"/>
        <v>1713.9852630520495</v>
      </c>
      <c r="W36" s="139">
        <f t="shared" si="20"/>
        <v>264.24065822782876</v>
      </c>
      <c r="X36" s="139">
        <f t="shared" si="20"/>
        <v>446.8101831637423</v>
      </c>
      <c r="Y36" s="139">
        <f t="shared" si="20"/>
        <v>721.0440457782306</v>
      </c>
      <c r="Z36" s="139">
        <f t="shared" si="20"/>
        <v>281.8903758822491</v>
      </c>
      <c r="AA36" s="139">
        <f t="shared" si="20"/>
        <v>0</v>
      </c>
      <c r="AB36" s="139">
        <f t="shared" si="20"/>
        <v>0</v>
      </c>
      <c r="AC36" s="139">
        <f t="shared" si="20"/>
        <v>0</v>
      </c>
      <c r="AD36" s="139">
        <f t="shared" si="20"/>
        <v>0</v>
      </c>
      <c r="AE36" s="139">
        <f t="shared" si="20"/>
        <v>0</v>
      </c>
      <c r="AF36" s="139">
        <f t="shared" si="20"/>
        <v>6591.112869051946</v>
      </c>
      <c r="AG36" s="186"/>
      <c r="AH36" s="183"/>
      <c r="AI36" s="187"/>
      <c r="AJ36" s="188"/>
      <c r="AK36" s="186"/>
      <c r="AL36" s="186"/>
      <c r="AM36" s="186"/>
      <c r="AN36" s="186"/>
      <c r="AO36" s="178"/>
      <c r="AP36" s="178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</row>
    <row r="37" spans="1:42" s="9" customFormat="1" ht="15.75" customHeight="1" hidden="1" outlineLevel="1">
      <c r="A37" s="135" t="s">
        <v>165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75"/>
      <c r="AH37" s="175"/>
      <c r="AI37" s="175"/>
      <c r="AJ37" s="175"/>
      <c r="AK37" s="175"/>
      <c r="AL37" s="175"/>
      <c r="AM37" s="175"/>
      <c r="AN37" s="175"/>
      <c r="AO37" s="11"/>
      <c r="AP37" s="11"/>
    </row>
    <row r="38" spans="1:42" s="9" customFormat="1" ht="15.75" customHeight="1" hidden="1" outlineLevel="1">
      <c r="A38" s="135" t="s">
        <v>166</v>
      </c>
      <c r="B38" s="136"/>
      <c r="C38" s="136"/>
      <c r="D38" s="136"/>
      <c r="E38" s="136"/>
      <c r="F38" s="136"/>
      <c r="G38" s="137">
        <f>'таблицы в текст'!D28</f>
        <v>1</v>
      </c>
      <c r="H38" s="137">
        <f>G38</f>
        <v>1</v>
      </c>
      <c r="I38" s="137">
        <f>H38</f>
        <v>1</v>
      </c>
      <c r="J38" s="137">
        <f>I38</f>
        <v>1</v>
      </c>
      <c r="K38" s="137">
        <f>J38</f>
        <v>1</v>
      </c>
      <c r="L38" s="137">
        <f aca="true" t="shared" si="21" ref="L38:AE38">K38</f>
        <v>1</v>
      </c>
      <c r="M38" s="137">
        <f t="shared" si="21"/>
        <v>1</v>
      </c>
      <c r="N38" s="137">
        <f t="shared" si="21"/>
        <v>1</v>
      </c>
      <c r="O38" s="137">
        <f t="shared" si="21"/>
        <v>1</v>
      </c>
      <c r="P38" s="137">
        <f t="shared" si="21"/>
        <v>1</v>
      </c>
      <c r="Q38" s="137">
        <f t="shared" si="21"/>
        <v>1</v>
      </c>
      <c r="R38" s="137">
        <f t="shared" si="21"/>
        <v>1</v>
      </c>
      <c r="S38" s="137">
        <f t="shared" si="21"/>
        <v>1</v>
      </c>
      <c r="T38" s="137">
        <f t="shared" si="21"/>
        <v>1</v>
      </c>
      <c r="U38" s="137">
        <f t="shared" si="21"/>
        <v>1</v>
      </c>
      <c r="V38" s="137">
        <f t="shared" si="21"/>
        <v>1</v>
      </c>
      <c r="W38" s="137">
        <f t="shared" si="21"/>
        <v>1</v>
      </c>
      <c r="X38" s="137">
        <f t="shared" si="21"/>
        <v>1</v>
      </c>
      <c r="Y38" s="137">
        <f t="shared" si="21"/>
        <v>1</v>
      </c>
      <c r="Z38" s="137">
        <f t="shared" si="21"/>
        <v>1</v>
      </c>
      <c r="AA38" s="137">
        <f t="shared" si="21"/>
        <v>1</v>
      </c>
      <c r="AB38" s="137">
        <f t="shared" si="21"/>
        <v>1</v>
      </c>
      <c r="AC38" s="137">
        <f t="shared" si="21"/>
        <v>1</v>
      </c>
      <c r="AD38" s="137">
        <f t="shared" si="21"/>
        <v>1</v>
      </c>
      <c r="AE38" s="137">
        <f t="shared" si="21"/>
        <v>1</v>
      </c>
      <c r="AF38" s="136"/>
      <c r="AG38" s="175"/>
      <c r="AH38" s="175"/>
      <c r="AI38" s="175"/>
      <c r="AJ38" s="175"/>
      <c r="AK38" s="175"/>
      <c r="AL38" s="175"/>
      <c r="AM38" s="175"/>
      <c r="AN38" s="175"/>
      <c r="AO38" s="11"/>
      <c r="AP38" s="11"/>
    </row>
    <row r="39" spans="1:42" s="9" customFormat="1" ht="15.75" customHeight="1" hidden="1" outlineLevel="1">
      <c r="A39" s="135" t="s">
        <v>167</v>
      </c>
      <c r="B39" s="136"/>
      <c r="C39" s="136"/>
      <c r="D39" s="136"/>
      <c r="E39" s="136"/>
      <c r="F39" s="136"/>
      <c r="G39" s="137">
        <f>'таблицы в текст'!D28</f>
        <v>1</v>
      </c>
      <c r="H39" s="137">
        <f aca="true" t="shared" si="22" ref="H39:K40">G39</f>
        <v>1</v>
      </c>
      <c r="I39" s="137">
        <f t="shared" si="22"/>
        <v>1</v>
      </c>
      <c r="J39" s="137">
        <f t="shared" si="22"/>
        <v>1</v>
      </c>
      <c r="K39" s="137">
        <f t="shared" si="22"/>
        <v>1</v>
      </c>
      <c r="L39" s="137">
        <f aca="true" t="shared" si="23" ref="L39:AE39">K39</f>
        <v>1</v>
      </c>
      <c r="M39" s="137">
        <f t="shared" si="23"/>
        <v>1</v>
      </c>
      <c r="N39" s="137">
        <f t="shared" si="23"/>
        <v>1</v>
      </c>
      <c r="O39" s="137">
        <f t="shared" si="23"/>
        <v>1</v>
      </c>
      <c r="P39" s="137">
        <f t="shared" si="23"/>
        <v>1</v>
      </c>
      <c r="Q39" s="137">
        <f t="shared" si="23"/>
        <v>1</v>
      </c>
      <c r="R39" s="137">
        <f t="shared" si="23"/>
        <v>1</v>
      </c>
      <c r="S39" s="137">
        <f t="shared" si="23"/>
        <v>1</v>
      </c>
      <c r="T39" s="137">
        <f t="shared" si="23"/>
        <v>1</v>
      </c>
      <c r="U39" s="137">
        <f t="shared" si="23"/>
        <v>1</v>
      </c>
      <c r="V39" s="137">
        <f t="shared" si="23"/>
        <v>1</v>
      </c>
      <c r="W39" s="137">
        <f t="shared" si="23"/>
        <v>1</v>
      </c>
      <c r="X39" s="137">
        <f t="shared" si="23"/>
        <v>1</v>
      </c>
      <c r="Y39" s="137">
        <f t="shared" si="23"/>
        <v>1</v>
      </c>
      <c r="Z39" s="137">
        <f t="shared" si="23"/>
        <v>1</v>
      </c>
      <c r="AA39" s="137">
        <f t="shared" si="23"/>
        <v>1</v>
      </c>
      <c r="AB39" s="137">
        <f t="shared" si="23"/>
        <v>1</v>
      </c>
      <c r="AC39" s="137">
        <f t="shared" si="23"/>
        <v>1</v>
      </c>
      <c r="AD39" s="137">
        <f t="shared" si="23"/>
        <v>1</v>
      </c>
      <c r="AE39" s="137">
        <f t="shared" si="23"/>
        <v>1</v>
      </c>
      <c r="AF39" s="136"/>
      <c r="AG39" s="175"/>
      <c r="AH39" s="175"/>
      <c r="AI39" s="175"/>
      <c r="AJ39" s="175"/>
      <c r="AK39" s="175"/>
      <c r="AL39" s="175"/>
      <c r="AM39" s="175"/>
      <c r="AN39" s="175"/>
      <c r="AO39" s="11"/>
      <c r="AP39" s="11"/>
    </row>
    <row r="40" spans="1:42" s="9" customFormat="1" ht="15.75" customHeight="1" hidden="1" outlineLevel="1">
      <c r="A40" s="135" t="s">
        <v>168</v>
      </c>
      <c r="B40" s="136"/>
      <c r="C40" s="136"/>
      <c r="D40" s="136"/>
      <c r="E40" s="136"/>
      <c r="F40" s="136"/>
      <c r="G40" s="137">
        <f>'таблицы в текст'!D28</f>
        <v>1</v>
      </c>
      <c r="H40" s="137">
        <f t="shared" si="22"/>
        <v>1</v>
      </c>
      <c r="I40" s="137">
        <f t="shared" si="22"/>
        <v>1</v>
      </c>
      <c r="J40" s="137">
        <f t="shared" si="22"/>
        <v>1</v>
      </c>
      <c r="K40" s="137">
        <f t="shared" si="22"/>
        <v>1</v>
      </c>
      <c r="L40" s="137">
        <f aca="true" t="shared" si="24" ref="L40:AE40">K40</f>
        <v>1</v>
      </c>
      <c r="M40" s="137">
        <f t="shared" si="24"/>
        <v>1</v>
      </c>
      <c r="N40" s="137">
        <f t="shared" si="24"/>
        <v>1</v>
      </c>
      <c r="O40" s="137">
        <f t="shared" si="24"/>
        <v>1</v>
      </c>
      <c r="P40" s="137">
        <f t="shared" si="24"/>
        <v>1</v>
      </c>
      <c r="Q40" s="137">
        <f t="shared" si="24"/>
        <v>1</v>
      </c>
      <c r="R40" s="137">
        <f t="shared" si="24"/>
        <v>1</v>
      </c>
      <c r="S40" s="137">
        <f t="shared" si="24"/>
        <v>1</v>
      </c>
      <c r="T40" s="137">
        <f t="shared" si="24"/>
        <v>1</v>
      </c>
      <c r="U40" s="137">
        <f t="shared" si="24"/>
        <v>1</v>
      </c>
      <c r="V40" s="137">
        <f t="shared" si="24"/>
        <v>1</v>
      </c>
      <c r="W40" s="137">
        <f t="shared" si="24"/>
        <v>1</v>
      </c>
      <c r="X40" s="137">
        <f t="shared" si="24"/>
        <v>1</v>
      </c>
      <c r="Y40" s="137">
        <f t="shared" si="24"/>
        <v>1</v>
      </c>
      <c r="Z40" s="137">
        <f t="shared" si="24"/>
        <v>1</v>
      </c>
      <c r="AA40" s="137">
        <f t="shared" si="24"/>
        <v>1</v>
      </c>
      <c r="AB40" s="137">
        <f t="shared" si="24"/>
        <v>1</v>
      </c>
      <c r="AC40" s="137">
        <f t="shared" si="24"/>
        <v>1</v>
      </c>
      <c r="AD40" s="137">
        <f t="shared" si="24"/>
        <v>1</v>
      </c>
      <c r="AE40" s="137">
        <f t="shared" si="24"/>
        <v>1</v>
      </c>
      <c r="AF40" s="136"/>
      <c r="AG40" s="175"/>
      <c r="AH40" s="175"/>
      <c r="AI40" s="175"/>
      <c r="AJ40" s="175"/>
      <c r="AK40" s="175"/>
      <c r="AL40" s="175"/>
      <c r="AM40" s="175"/>
      <c r="AN40" s="175"/>
      <c r="AO40" s="11"/>
      <c r="AP40" s="11"/>
    </row>
    <row r="41" spans="13:16" ht="12.75" collapsed="1">
      <c r="M41" s="25"/>
      <c r="N41" s="25"/>
      <c r="O41" s="25"/>
      <c r="P41" s="25"/>
    </row>
    <row r="43" ht="12.75">
      <c r="G43" s="237">
        <f>G16+G25-'таблицы в текст'!C235</f>
        <v>0</v>
      </c>
    </row>
    <row r="48" ht="12.75">
      <c r="C48" s="18"/>
    </row>
  </sheetData>
  <sheetProtection/>
  <mergeCells count="19">
    <mergeCell ref="AF7:AF9"/>
    <mergeCell ref="L8:L9"/>
    <mergeCell ref="G7:K7"/>
    <mergeCell ref="L7:P7"/>
    <mergeCell ref="R8:U8"/>
    <mergeCell ref="V7:Z7"/>
    <mergeCell ref="AB7:AE7"/>
    <mergeCell ref="AA8:AA9"/>
    <mergeCell ref="Q7:U7"/>
    <mergeCell ref="A7:A9"/>
    <mergeCell ref="B7:F7"/>
    <mergeCell ref="B8:B9"/>
    <mergeCell ref="W8:X8"/>
    <mergeCell ref="H8:K8"/>
    <mergeCell ref="C8:F8"/>
    <mergeCell ref="Q8:Q9"/>
    <mergeCell ref="M8:P8"/>
    <mergeCell ref="G8:G9"/>
    <mergeCell ref="V8:V9"/>
  </mergeCells>
  <printOptions horizontalCentered="1"/>
  <pageMargins left="0.15748031496062992" right="0.15748031496062992" top="0.5905511811023623" bottom="0.3937007874015748" header="0.7086614173228347" footer="0.6299212598425197"/>
  <pageSetup fitToWidth="2" fitToHeight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53"/>
  <sheetViews>
    <sheetView showZeros="0" zoomScale="90" zoomScaleNormal="90" zoomScalePageLayoutView="0" workbookViewId="0" topLeftCell="A1">
      <pane xSplit="1" ySplit="10" topLeftCell="T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1" sqref="AH1:AI16384"/>
    </sheetView>
  </sheetViews>
  <sheetFormatPr defaultColWidth="9.140625" defaultRowHeight="13.5" customHeight="1"/>
  <cols>
    <col min="1" max="1" width="41.140625" style="41" customWidth="1"/>
    <col min="2" max="2" width="9.00390625" style="23" customWidth="1"/>
    <col min="3" max="3" width="8.7109375" style="23" customWidth="1"/>
    <col min="4" max="4" width="8.28125" style="23" customWidth="1"/>
    <col min="5" max="5" width="8.140625" style="23" customWidth="1"/>
    <col min="6" max="6" width="8.57421875" style="23" customWidth="1"/>
    <col min="7" max="7" width="8.7109375" style="23" customWidth="1"/>
    <col min="8" max="21" width="7.28125" style="23" customWidth="1"/>
    <col min="22" max="22" width="9.00390625" style="23" customWidth="1"/>
    <col min="23" max="23" width="6.00390625" style="23" customWidth="1"/>
    <col min="24" max="24" width="8.00390625" style="23" customWidth="1"/>
    <col min="25" max="25" width="7.421875" style="23" customWidth="1"/>
    <col min="26" max="26" width="7.28125" style="23" customWidth="1"/>
    <col min="27" max="27" width="0" style="44" hidden="1" customWidth="1"/>
    <col min="28" max="31" width="0" style="35" hidden="1" customWidth="1"/>
    <col min="32" max="33" width="9.140625" style="35" customWidth="1"/>
    <col min="34" max="34" width="13.7109375" style="35" customWidth="1"/>
    <col min="35" max="16384" width="9.140625" style="35" customWidth="1"/>
  </cols>
  <sheetData>
    <row r="1" spans="1:5" s="100" customFormat="1" ht="18">
      <c r="A1" s="112"/>
      <c r="B1" s="113" t="str">
        <f>'таблицы в текст'!B1</f>
        <v>НАЗВАНИЕ ПРОЕКТА:</v>
      </c>
      <c r="C1" s="114"/>
      <c r="D1" s="114"/>
      <c r="E1" s="45" t="str">
        <f>'таблицы в текст'!C1</f>
        <v>Бизнес-план организации деятельности по разведению кур в п. ХХХ ХХХ района Республики Саха (Якутия)</v>
      </c>
    </row>
    <row r="2" spans="1:42" s="1" customFormat="1" ht="12.75">
      <c r="A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3" customFormat="1" ht="20.25">
      <c r="A3" s="115" t="s">
        <v>169</v>
      </c>
      <c r="B3" s="116"/>
      <c r="C3" s="116"/>
      <c r="D3" s="117"/>
      <c r="E3" s="117"/>
      <c r="F3" s="117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3" customFormat="1" ht="18.75">
      <c r="A5" s="102" t="s">
        <v>170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27" s="30" customFormat="1" ht="18.75" customHeight="1">
      <c r="A6" s="31"/>
      <c r="AA6" s="43"/>
    </row>
    <row r="7" spans="1:34" s="99" customFormat="1" ht="13.5" customHeight="1">
      <c r="A7" s="325" t="s">
        <v>5</v>
      </c>
      <c r="B7" s="326">
        <f>'таблицы в текст'!D33</f>
        <v>2019</v>
      </c>
      <c r="C7" s="326"/>
      <c r="D7" s="326"/>
      <c r="E7" s="326"/>
      <c r="F7" s="326"/>
      <c r="G7" s="326">
        <f>B7+1</f>
        <v>2020</v>
      </c>
      <c r="H7" s="326"/>
      <c r="I7" s="326"/>
      <c r="J7" s="326"/>
      <c r="K7" s="326"/>
      <c r="L7" s="329">
        <f>G7+1</f>
        <v>2021</v>
      </c>
      <c r="M7" s="329"/>
      <c r="N7" s="329"/>
      <c r="O7" s="329"/>
      <c r="P7" s="329"/>
      <c r="Q7" s="318">
        <f>L7+1</f>
        <v>2022</v>
      </c>
      <c r="R7" s="319"/>
      <c r="S7" s="319"/>
      <c r="T7" s="319"/>
      <c r="U7" s="320"/>
      <c r="V7" s="318">
        <f>Q7+1</f>
        <v>2023</v>
      </c>
      <c r="W7" s="319"/>
      <c r="X7" s="319"/>
      <c r="Y7" s="319"/>
      <c r="Z7" s="320"/>
      <c r="AA7" s="318">
        <f>V7+1</f>
        <v>2024</v>
      </c>
      <c r="AB7" s="319"/>
      <c r="AC7" s="319"/>
      <c r="AD7" s="319"/>
      <c r="AE7" s="320"/>
      <c r="AF7" s="321" t="s">
        <v>10</v>
      </c>
      <c r="AH7" s="171"/>
    </row>
    <row r="8" spans="1:32" s="34" customFormat="1" ht="13.5" customHeight="1">
      <c r="A8" s="325"/>
      <c r="B8" s="327" t="s">
        <v>6</v>
      </c>
      <c r="C8" s="328" t="s">
        <v>7</v>
      </c>
      <c r="D8" s="328"/>
      <c r="E8" s="328"/>
      <c r="F8" s="328"/>
      <c r="G8" s="327" t="s">
        <v>6</v>
      </c>
      <c r="H8" s="328" t="s">
        <v>7</v>
      </c>
      <c r="I8" s="328"/>
      <c r="J8" s="328"/>
      <c r="K8" s="328"/>
      <c r="L8" s="321" t="s">
        <v>6</v>
      </c>
      <c r="M8" s="328" t="s">
        <v>7</v>
      </c>
      <c r="N8" s="328"/>
      <c r="O8" s="328"/>
      <c r="P8" s="328"/>
      <c r="Q8" s="321" t="s">
        <v>6</v>
      </c>
      <c r="R8" s="322" t="s">
        <v>7</v>
      </c>
      <c r="S8" s="323"/>
      <c r="T8" s="323"/>
      <c r="U8" s="324"/>
      <c r="V8" s="321" t="s">
        <v>6</v>
      </c>
      <c r="W8" s="322" t="s">
        <v>7</v>
      </c>
      <c r="X8" s="323"/>
      <c r="Y8" s="323"/>
      <c r="Z8" s="324"/>
      <c r="AA8" s="321" t="s">
        <v>6</v>
      </c>
      <c r="AB8" s="322" t="s">
        <v>7</v>
      </c>
      <c r="AC8" s="323"/>
      <c r="AD8" s="323"/>
      <c r="AE8" s="324"/>
      <c r="AF8" s="321"/>
    </row>
    <row r="9" spans="1:32" s="34" customFormat="1" ht="13.5" customHeight="1">
      <c r="A9" s="325"/>
      <c r="B9" s="327"/>
      <c r="C9" s="32">
        <v>1</v>
      </c>
      <c r="D9" s="32">
        <v>2</v>
      </c>
      <c r="E9" s="32">
        <v>3</v>
      </c>
      <c r="F9" s="32">
        <v>4</v>
      </c>
      <c r="G9" s="327"/>
      <c r="H9" s="32">
        <v>1</v>
      </c>
      <c r="I9" s="32">
        <v>2</v>
      </c>
      <c r="J9" s="32">
        <v>3</v>
      </c>
      <c r="K9" s="32">
        <v>4</v>
      </c>
      <c r="L9" s="321"/>
      <c r="M9" s="32">
        <v>1</v>
      </c>
      <c r="N9" s="32">
        <v>2</v>
      </c>
      <c r="O9" s="32">
        <v>3</v>
      </c>
      <c r="P9" s="32">
        <v>4</v>
      </c>
      <c r="Q9" s="321"/>
      <c r="R9" s="33">
        <f>M9</f>
        <v>1</v>
      </c>
      <c r="S9" s="33">
        <v>2</v>
      </c>
      <c r="T9" s="33">
        <f>O9</f>
        <v>3</v>
      </c>
      <c r="U9" s="33">
        <f>P9</f>
        <v>4</v>
      </c>
      <c r="V9" s="321"/>
      <c r="W9" s="33">
        <f>R9</f>
        <v>1</v>
      </c>
      <c r="X9" s="33">
        <v>2</v>
      </c>
      <c r="Y9" s="33">
        <f>T9</f>
        <v>3</v>
      </c>
      <c r="Z9" s="33">
        <f>U9</f>
        <v>4</v>
      </c>
      <c r="AA9" s="321"/>
      <c r="AB9" s="33">
        <f>W9</f>
        <v>1</v>
      </c>
      <c r="AC9" s="33">
        <v>3</v>
      </c>
      <c r="AD9" s="33">
        <f>Y9</f>
        <v>3</v>
      </c>
      <c r="AE9" s="33">
        <f>Z9</f>
        <v>4</v>
      </c>
      <c r="AF9" s="321"/>
    </row>
    <row r="10" spans="1:32" ht="13.5" customHeight="1">
      <c r="A10" s="141" t="s">
        <v>171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</row>
    <row r="11" spans="1:32" s="15" customFormat="1" ht="17.25" customHeight="1">
      <c r="A11" s="13" t="str">
        <f>'приложение 1'!A12</f>
        <v>Выручка </v>
      </c>
      <c r="B11" s="17">
        <f>SUM(C11:F11)</f>
        <v>4100</v>
      </c>
      <c r="C11" s="13">
        <f>'приложение 1'!C12</f>
        <v>0</v>
      </c>
      <c r="D11" s="13">
        <f>'приложение 1'!D12</f>
        <v>0</v>
      </c>
      <c r="E11" s="13">
        <f>'приложение 1'!E12</f>
        <v>2050</v>
      </c>
      <c r="F11" s="13">
        <f>'приложение 1'!F12</f>
        <v>2050</v>
      </c>
      <c r="G11" s="17">
        <f>SUM(H11:K11)</f>
        <v>8890</v>
      </c>
      <c r="H11" s="13">
        <f>'приложение 1'!H12</f>
        <v>2050</v>
      </c>
      <c r="I11" s="13">
        <f>'приложение 1'!I12</f>
        <v>2050</v>
      </c>
      <c r="J11" s="13">
        <f>'приложение 1'!J12</f>
        <v>2740</v>
      </c>
      <c r="K11" s="13">
        <f>'приложение 1'!K12</f>
        <v>2050</v>
      </c>
      <c r="L11" s="17">
        <f>SUM(M11:P11)</f>
        <v>8890</v>
      </c>
      <c r="M11" s="13">
        <f>'приложение 1'!M12</f>
        <v>2050</v>
      </c>
      <c r="N11" s="13">
        <f>'приложение 1'!N12</f>
        <v>2050</v>
      </c>
      <c r="O11" s="13">
        <f>'приложение 1'!O12</f>
        <v>2740</v>
      </c>
      <c r="P11" s="13">
        <f>'приложение 1'!P12</f>
        <v>2050</v>
      </c>
      <c r="Q11" s="17">
        <f>SUM(R11:U11)</f>
        <v>8890</v>
      </c>
      <c r="R11" s="13">
        <f>'приложение 1'!R12</f>
        <v>2050</v>
      </c>
      <c r="S11" s="13">
        <f>'приложение 1'!S12</f>
        <v>2050</v>
      </c>
      <c r="T11" s="13">
        <f>'приложение 1'!T12</f>
        <v>2740</v>
      </c>
      <c r="U11" s="13">
        <f>'приложение 1'!U12</f>
        <v>2050</v>
      </c>
      <c r="V11" s="17">
        <f>SUM(W11:Z11)</f>
        <v>8890</v>
      </c>
      <c r="W11" s="13">
        <f>'приложение 1'!W12</f>
        <v>2050</v>
      </c>
      <c r="X11" s="13">
        <f>'приложение 1'!X12</f>
        <v>2050</v>
      </c>
      <c r="Y11" s="13">
        <f>'приложение 1'!Y12</f>
        <v>2740</v>
      </c>
      <c r="Z11" s="13">
        <f>'приложение 1'!Z12</f>
        <v>2050</v>
      </c>
      <c r="AA11" s="17">
        <f>SUM(AB11:AE11)</f>
        <v>0</v>
      </c>
      <c r="AB11" s="13">
        <f>'приложение 1'!AB12</f>
        <v>0</v>
      </c>
      <c r="AC11" s="13">
        <f>'приложение 1'!AC12</f>
        <v>0</v>
      </c>
      <c r="AD11" s="13">
        <f>'приложение 1'!AD12</f>
        <v>0</v>
      </c>
      <c r="AE11" s="13">
        <f>'приложение 1'!AE12</f>
        <v>0</v>
      </c>
      <c r="AF11" s="13">
        <f>AA11+V11+Q11+L11+G11+B11</f>
        <v>39660</v>
      </c>
    </row>
    <row r="12" spans="1:32" s="15" customFormat="1" ht="17.25" customHeight="1" hidden="1">
      <c r="A12" s="13"/>
      <c r="B12" s="17">
        <f>SUM(C12:F12)</f>
        <v>0</v>
      </c>
      <c r="C12" s="13"/>
      <c r="D12" s="13"/>
      <c r="E12" s="13"/>
      <c r="F12" s="13"/>
      <c r="G12" s="17">
        <f>SUM(H12:K12)</f>
        <v>0</v>
      </c>
      <c r="H12" s="13"/>
      <c r="I12" s="13"/>
      <c r="J12" s="13"/>
      <c r="K12" s="13"/>
      <c r="L12" s="17">
        <f>SUM(M12:P12)</f>
        <v>0</v>
      </c>
      <c r="M12" s="13"/>
      <c r="N12" s="13"/>
      <c r="O12" s="13"/>
      <c r="P12" s="13"/>
      <c r="Q12" s="17">
        <f>SUM(R12:U12)</f>
        <v>0</v>
      </c>
      <c r="R12" s="13"/>
      <c r="S12" s="13"/>
      <c r="T12" s="13"/>
      <c r="U12" s="13"/>
      <c r="V12" s="17">
        <f>SUM(W12:Z12)</f>
        <v>0</v>
      </c>
      <c r="W12" s="13"/>
      <c r="X12" s="13"/>
      <c r="Y12" s="13"/>
      <c r="Z12" s="13"/>
      <c r="AA12" s="17">
        <f>SUM(AB12:AE12)</f>
        <v>0</v>
      </c>
      <c r="AB12" s="13"/>
      <c r="AC12" s="13"/>
      <c r="AD12" s="13"/>
      <c r="AE12" s="13"/>
      <c r="AF12" s="13">
        <f aca="true" t="shared" si="0" ref="AF12:AF23">AA12+V12+Q12+L12+G12+B12</f>
        <v>0</v>
      </c>
    </row>
    <row r="13" spans="1:34" s="24" customFormat="1" ht="16.5" customHeight="1">
      <c r="A13" s="36" t="s">
        <v>172</v>
      </c>
      <c r="B13" s="17">
        <f>SUM(C13:F13)</f>
        <v>3617.4847118440193</v>
      </c>
      <c r="C13" s="17">
        <f>'приложение 1'!C16+'приложение 1'!C25</f>
        <v>0</v>
      </c>
      <c r="D13" s="17">
        <f>'приложение 1'!D16+'приложение 1'!D25</f>
        <v>0</v>
      </c>
      <c r="E13" s="17">
        <f>'приложение 1'!E16+'приложение 1'!E25</f>
        <v>1876.8592009220097</v>
      </c>
      <c r="F13" s="17">
        <f>'приложение 1'!F16+'приложение 1'!F25</f>
        <v>1740.6255109220097</v>
      </c>
      <c r="G13" s="17">
        <f>SUM(H13:K13)</f>
        <v>6990.465635666667</v>
      </c>
      <c r="H13" s="17">
        <f>'приложение 1'!H16+'приложение 1'!H25</f>
        <v>1740.6255109220097</v>
      </c>
      <c r="I13" s="17">
        <f>'приложение 1'!I16+'приложение 1'!I25</f>
        <v>1552.36572492201</v>
      </c>
      <c r="J13" s="17">
        <f>'приложение 1'!J16+'приложение 1'!J25</f>
        <v>1956.8488889006376</v>
      </c>
      <c r="K13" s="17">
        <f>'приложение 1'!K16+'приложение 1'!K25</f>
        <v>1740.6255109220097</v>
      </c>
      <c r="L13" s="17">
        <f>SUM(M13:P13)</f>
        <v>6990.465635666667</v>
      </c>
      <c r="M13" s="17">
        <f>'приложение 1'!M16+'приложение 1'!M25</f>
        <v>1740.6255109220097</v>
      </c>
      <c r="N13" s="17">
        <f>'приложение 1'!N16+'приложение 1'!N25</f>
        <v>1552.36572492201</v>
      </c>
      <c r="O13" s="17">
        <f>'приложение 1'!O16+'приложение 1'!O25</f>
        <v>1956.8488889006376</v>
      </c>
      <c r="P13" s="17">
        <f>'приложение 1'!P16+'приложение 1'!P25</f>
        <v>1740.6255109220097</v>
      </c>
      <c r="Q13" s="17">
        <f>SUM(R13:U13)</f>
        <v>6990.465635666667</v>
      </c>
      <c r="R13" s="17">
        <f>'приложение 1'!R16+'приложение 1'!R25</f>
        <v>1740.6255109220097</v>
      </c>
      <c r="S13" s="17">
        <f>'приложение 1'!S16+'приложение 1'!S25</f>
        <v>1552.36572492201</v>
      </c>
      <c r="T13" s="17">
        <f>'приложение 1'!T16+'приложение 1'!T25</f>
        <v>1956.8488889006376</v>
      </c>
      <c r="U13" s="17">
        <f>'приложение 1'!U16+'приложение 1'!U25</f>
        <v>1740.6255109220097</v>
      </c>
      <c r="V13" s="17">
        <f>SUM(W13:Z13)</f>
        <v>6990.465635666667</v>
      </c>
      <c r="W13" s="17">
        <f>'приложение 1'!W16+'приложение 1'!W25</f>
        <v>1740.6255109220097</v>
      </c>
      <c r="X13" s="17">
        <f>'приложение 1'!X16+'приложение 1'!X25</f>
        <v>1552.36572492201</v>
      </c>
      <c r="Y13" s="17">
        <f>'приложение 1'!Y16+'приложение 1'!Y25</f>
        <v>1956.8488889006376</v>
      </c>
      <c r="Z13" s="17">
        <f>'приложение 1'!Z16+'приложение 1'!Z25</f>
        <v>1740.6255109220097</v>
      </c>
      <c r="AA13" s="17">
        <f>SUM(AB13:AE13)</f>
        <v>0</v>
      </c>
      <c r="AB13" s="17">
        <f>'приложение 1'!AB16+'приложение 1'!AB25</f>
        <v>0</v>
      </c>
      <c r="AC13" s="17">
        <f>'приложение 1'!AC16+'приложение 1'!AC25</f>
        <v>0</v>
      </c>
      <c r="AD13" s="17">
        <f>'приложение 1'!AD16+'приложение 1'!AD25</f>
        <v>0</v>
      </c>
      <c r="AE13" s="17">
        <f>'приложение 1'!AE16+'приложение 1'!AE25</f>
        <v>0</v>
      </c>
      <c r="AF13" s="13">
        <f t="shared" si="0"/>
        <v>31579.34725451069</v>
      </c>
      <c r="AH13" s="15"/>
    </row>
    <row r="14" spans="1:34" s="24" customFormat="1" ht="16.5" customHeight="1">
      <c r="A14" s="36" t="s">
        <v>174</v>
      </c>
      <c r="B14" s="17">
        <f>SUM(C14:F14)</f>
        <v>340.83333333333337</v>
      </c>
      <c r="C14" s="17">
        <f>'приложение 1'!C30</f>
        <v>0</v>
      </c>
      <c r="D14" s="17">
        <f>'приложение 1'!D30</f>
        <v>0</v>
      </c>
      <c r="E14" s="17">
        <f>'приложение 1'!E30</f>
        <v>170.41666666666669</v>
      </c>
      <c r="F14" s="17">
        <f>'приложение 1'!F30</f>
        <v>170.41666666666669</v>
      </c>
      <c r="G14" s="17">
        <f>SUM(H14:K14)</f>
        <v>681.6666666666667</v>
      </c>
      <c r="H14" s="17">
        <f>'приложение 1'!H30</f>
        <v>170.41666666666669</v>
      </c>
      <c r="I14" s="17">
        <f>'приложение 1'!I30</f>
        <v>170.41666666666669</v>
      </c>
      <c r="J14" s="17">
        <f>'приложение 1'!J30</f>
        <v>170.41666666666669</v>
      </c>
      <c r="K14" s="17">
        <f>'приложение 1'!K30</f>
        <v>170.41666666666669</v>
      </c>
      <c r="L14" s="17">
        <f>SUM(M14:P14)</f>
        <v>681.6666666666667</v>
      </c>
      <c r="M14" s="17">
        <f>'приложение 1'!M30</f>
        <v>170.41666666666669</v>
      </c>
      <c r="N14" s="17">
        <f>'приложение 1'!N30</f>
        <v>170.41666666666669</v>
      </c>
      <c r="O14" s="17">
        <f>'приложение 1'!O30</f>
        <v>170.41666666666669</v>
      </c>
      <c r="P14" s="17">
        <f>'приложение 1'!P30</f>
        <v>170.41666666666669</v>
      </c>
      <c r="Q14" s="17">
        <f>SUM(R14:U14)</f>
        <v>681.6666666666667</v>
      </c>
      <c r="R14" s="17">
        <f>'приложение 1'!R30</f>
        <v>170.41666666666669</v>
      </c>
      <c r="S14" s="17">
        <f>'приложение 1'!S30</f>
        <v>170.41666666666669</v>
      </c>
      <c r="T14" s="17">
        <f>'приложение 1'!T30</f>
        <v>170.41666666666669</v>
      </c>
      <c r="U14" s="17">
        <f>'приложение 1'!U30</f>
        <v>170.41666666666669</v>
      </c>
      <c r="V14" s="17">
        <f>SUM(W14:Z14)</f>
        <v>681.6666666666667</v>
      </c>
      <c r="W14" s="17">
        <f>'приложение 1'!W30</f>
        <v>170.41666666666669</v>
      </c>
      <c r="X14" s="17">
        <f>'приложение 1'!X30</f>
        <v>170.41666666666669</v>
      </c>
      <c r="Y14" s="17">
        <f>'приложение 1'!Y30</f>
        <v>170.41666666666669</v>
      </c>
      <c r="Z14" s="17">
        <f>'приложение 1'!Z30</f>
        <v>170.41666666666669</v>
      </c>
      <c r="AA14" s="17">
        <f>SUM(AB14:AE14)</f>
        <v>0</v>
      </c>
      <c r="AB14" s="17">
        <f>'приложение 1'!AB30</f>
        <v>0</v>
      </c>
      <c r="AC14" s="17">
        <f>'приложение 1'!AC30</f>
        <v>0</v>
      </c>
      <c r="AD14" s="17">
        <f>'приложение 1'!AD30</f>
        <v>0</v>
      </c>
      <c r="AE14" s="17">
        <f>'приложение 1'!AE30</f>
        <v>0</v>
      </c>
      <c r="AF14" s="13">
        <f t="shared" si="0"/>
        <v>3067.5000000000005</v>
      </c>
      <c r="AH14" s="15"/>
    </row>
    <row r="15" spans="1:32" s="15" customFormat="1" ht="14.25" customHeight="1">
      <c r="A15" s="37" t="s">
        <v>173</v>
      </c>
      <c r="B15" s="17">
        <f>SUM(C15:F15)</f>
        <v>16.852287152372533</v>
      </c>
      <c r="C15" s="13">
        <f>'приложение 1'!C35</f>
        <v>0</v>
      </c>
      <c r="D15" s="13">
        <f>'приложение 1'!D35</f>
        <v>0</v>
      </c>
      <c r="E15" s="13">
        <f>'приложение 1'!E35</f>
        <v>4.339132876186262</v>
      </c>
      <c r="F15" s="13">
        <f>'приложение 1'!F35</f>
        <v>12.51315427618627</v>
      </c>
      <c r="G15" s="17">
        <f>SUM(H15:K15)</f>
        <v>92.95894304133205</v>
      </c>
      <c r="H15" s="13">
        <f>'приложение 1'!H35</f>
        <v>12.931281287393572</v>
      </c>
      <c r="I15" s="13">
        <f>'приложение 1'!I35</f>
        <v>24.462444150714237</v>
      </c>
      <c r="J15" s="13">
        <f>'приложение 1'!J35</f>
        <v>41.84033287964063</v>
      </c>
      <c r="K15" s="13">
        <f>'приложение 1'!K35</f>
        <v>13.724884723583619</v>
      </c>
      <c r="L15" s="17">
        <f>SUM(M15:P15)</f>
        <v>98.01238807000854</v>
      </c>
      <c r="M15" s="13">
        <f>'приложение 1'!M35</f>
        <v>14.140572396546611</v>
      </c>
      <c r="N15" s="13">
        <f>'приложение 1'!N35</f>
        <v>25.709291387403287</v>
      </c>
      <c r="O15" s="13">
        <f>'приложение 1'!O35</f>
        <v>43.12602364023864</v>
      </c>
      <c r="P15" s="13">
        <f>'приложение 1'!P35</f>
        <v>15.036500645819995</v>
      </c>
      <c r="Q15" s="17">
        <f>SUM(R15:U15)</f>
        <v>103.48239914053568</v>
      </c>
      <c r="R15" s="13">
        <f>'приложение 1'!R35</f>
        <v>15.44954790078587</v>
      </c>
      <c r="S15" s="13">
        <f>'приложение 1'!S35</f>
        <v>27.058918849311492</v>
      </c>
      <c r="T15" s="13">
        <f>'приложение 1'!T35</f>
        <v>44.51769657896406</v>
      </c>
      <c r="U15" s="13">
        <f>'приложение 1'!U35</f>
        <v>16.456235811474244</v>
      </c>
      <c r="V15" s="17">
        <f>SUM(W15:Z15)</f>
        <v>109.40331466289685</v>
      </c>
      <c r="W15" s="13">
        <f>'приложение 1'!W35</f>
        <v>16.866424993265664</v>
      </c>
      <c r="X15" s="13">
        <f>'приложение 1'!X35</f>
        <v>28.519798925345253</v>
      </c>
      <c r="Y15" s="13">
        <f>'приложение 1'!Y35</f>
        <v>46.0240880283977</v>
      </c>
      <c r="Z15" s="13">
        <f>'приложение 1'!Z35</f>
        <v>17.993002715888238</v>
      </c>
      <c r="AA15" s="17">
        <f>SUM(AB15:AE15)</f>
        <v>0</v>
      </c>
      <c r="AB15" s="13">
        <f>'приложение 1'!AB35</f>
        <v>0</v>
      </c>
      <c r="AC15" s="13">
        <f>'приложение 1'!AC35</f>
        <v>0</v>
      </c>
      <c r="AD15" s="13">
        <f>'приложение 1'!AD35</f>
        <v>0</v>
      </c>
      <c r="AE15" s="13">
        <f>'приложение 1'!AE35</f>
        <v>0</v>
      </c>
      <c r="AF15" s="13">
        <f t="shared" si="0"/>
        <v>420.7093320671457</v>
      </c>
    </row>
    <row r="16" spans="1:34" s="16" customFormat="1" ht="15" customHeight="1">
      <c r="A16" s="13" t="s">
        <v>42</v>
      </c>
      <c r="B16" s="17">
        <f aca="true" t="shared" si="1" ref="B16:G16">B11-B13+B14-B15</f>
        <v>806.4963343369415</v>
      </c>
      <c r="C16" s="17">
        <f t="shared" si="1"/>
        <v>0</v>
      </c>
      <c r="D16" s="17">
        <f t="shared" si="1"/>
        <v>0</v>
      </c>
      <c r="E16" s="17">
        <f t="shared" si="1"/>
        <v>339.2183328684707</v>
      </c>
      <c r="F16" s="17">
        <f t="shared" si="1"/>
        <v>467.27800146847073</v>
      </c>
      <c r="G16" s="17">
        <f t="shared" si="1"/>
        <v>2488.2420879586675</v>
      </c>
      <c r="H16" s="17">
        <f aca="true" t="shared" si="2" ref="H16:AF16">H11-H13+H14-H15</f>
        <v>466.85987445726346</v>
      </c>
      <c r="I16" s="17">
        <f t="shared" si="2"/>
        <v>643.5884975939425</v>
      </c>
      <c r="J16" s="17">
        <f t="shared" si="2"/>
        <v>911.7274448863885</v>
      </c>
      <c r="K16" s="17">
        <f t="shared" si="2"/>
        <v>466.0662710210734</v>
      </c>
      <c r="L16" s="17">
        <f t="shared" si="2"/>
        <v>2483.188642929991</v>
      </c>
      <c r="M16" s="17">
        <f t="shared" si="2"/>
        <v>465.65058334811044</v>
      </c>
      <c r="N16" s="17">
        <f t="shared" si="2"/>
        <v>642.3416503572535</v>
      </c>
      <c r="O16" s="17">
        <f t="shared" si="2"/>
        <v>910.4417541257906</v>
      </c>
      <c r="P16" s="17">
        <f t="shared" si="2"/>
        <v>464.754655098837</v>
      </c>
      <c r="Q16" s="17">
        <f t="shared" si="2"/>
        <v>2477.718631859464</v>
      </c>
      <c r="R16" s="17">
        <f t="shared" si="2"/>
        <v>464.34160784387115</v>
      </c>
      <c r="S16" s="17">
        <f t="shared" si="2"/>
        <v>640.9920228953453</v>
      </c>
      <c r="T16" s="17">
        <f t="shared" si="2"/>
        <v>909.0500811870651</v>
      </c>
      <c r="U16" s="17">
        <f t="shared" si="2"/>
        <v>463.3349199331828</v>
      </c>
      <c r="V16" s="17">
        <f t="shared" si="2"/>
        <v>2471.797716337103</v>
      </c>
      <c r="W16" s="17">
        <f t="shared" si="2"/>
        <v>462.9247307513914</v>
      </c>
      <c r="X16" s="17">
        <f t="shared" si="2"/>
        <v>639.5311428193114</v>
      </c>
      <c r="Y16" s="17">
        <f t="shared" si="2"/>
        <v>907.5436897376314</v>
      </c>
      <c r="Z16" s="17">
        <f t="shared" si="2"/>
        <v>461.7981530287688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10727.443413422165</v>
      </c>
      <c r="AH16" s="15"/>
    </row>
    <row r="17" spans="1:32" s="15" customFormat="1" ht="13.5" customHeight="1">
      <c r="A17" s="141" t="s">
        <v>177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1:32" s="15" customFormat="1" ht="15.75" customHeight="1">
      <c r="A18" s="13" t="s">
        <v>175</v>
      </c>
      <c r="B18" s="13">
        <f>SUM(C18:F18)</f>
        <v>7779</v>
      </c>
      <c r="C18" s="13">
        <f>SUM(C19:C22)</f>
        <v>7779</v>
      </c>
      <c r="D18" s="13">
        <f>SUM(D19:D22)</f>
        <v>0</v>
      </c>
      <c r="E18" s="13">
        <f>SUM(E19:E22)</f>
        <v>0</v>
      </c>
      <c r="F18" s="13">
        <f>SUM(F19:F22)</f>
        <v>0</v>
      </c>
      <c r="G18" s="13">
        <f>SUM(H18:K18)</f>
        <v>0</v>
      </c>
      <c r="H18" s="13"/>
      <c r="I18" s="13"/>
      <c r="J18" s="13"/>
      <c r="K18" s="13"/>
      <c r="L18" s="13">
        <f>SUM(M18:P18)</f>
        <v>0</v>
      </c>
      <c r="M18" s="13"/>
      <c r="N18" s="13"/>
      <c r="O18" s="13"/>
      <c r="P18" s="13"/>
      <c r="Q18" s="13">
        <f>SUM(R18:U18)</f>
        <v>0</v>
      </c>
      <c r="R18" s="13"/>
      <c r="S18" s="13"/>
      <c r="T18" s="13"/>
      <c r="U18" s="13"/>
      <c r="V18" s="13">
        <f>SUM(W18:Z18)</f>
        <v>0</v>
      </c>
      <c r="W18" s="13"/>
      <c r="X18" s="13"/>
      <c r="Y18" s="13"/>
      <c r="Z18" s="13"/>
      <c r="AA18" s="13">
        <f>SUM(AB18:AE18)</f>
        <v>0</v>
      </c>
      <c r="AB18" s="13"/>
      <c r="AC18" s="13"/>
      <c r="AD18" s="13"/>
      <c r="AE18" s="13"/>
      <c r="AF18" s="13">
        <f t="shared" si="0"/>
        <v>7779</v>
      </c>
    </row>
    <row r="19" spans="1:32" s="27" customFormat="1" ht="15.75" customHeight="1">
      <c r="A19" s="271" t="str">
        <f>'таблицы в текст'!B264</f>
        <v>Здания</v>
      </c>
      <c r="B19" s="17">
        <f>SUM(C19:F19)</f>
        <v>3140</v>
      </c>
      <c r="C19" s="13">
        <f>IF('таблицы в текст'!$D$35=1,'таблицы в текст'!$C$264,0)</f>
        <v>3140</v>
      </c>
      <c r="D19" s="13">
        <f>IF('таблицы в текст'!$D$35=2,'таблицы в текст'!$C$264,0)</f>
        <v>0</v>
      </c>
      <c r="E19" s="13">
        <f>IF('таблицы в текст'!$D$35=3,'таблицы в текст'!$C$264,0)</f>
        <v>0</v>
      </c>
      <c r="F19" s="13">
        <f>IF('таблицы в текст'!$D$35=4,'таблицы в текст'!$C$264,0)</f>
        <v>0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</row>
    <row r="20" spans="1:32" s="27" customFormat="1" ht="15.75" customHeight="1">
      <c r="A20" s="271" t="str">
        <f>'таблицы в текст'!B265</f>
        <v>Оборудование</v>
      </c>
      <c r="B20" s="17">
        <f>SUM(C20:F20)</f>
        <v>2539</v>
      </c>
      <c r="C20" s="13">
        <f>IF('таблицы в текст'!$D$35=1,'таблицы в текст'!$C$265,0)</f>
        <v>2539</v>
      </c>
      <c r="D20" s="13">
        <f>IF('таблицы в текст'!$D$35=2,'таблицы в текст'!$C$265,0)</f>
        <v>0</v>
      </c>
      <c r="E20" s="13">
        <f>IF('таблицы в текст'!$D$35=3,'таблицы в текст'!$C$265,0)</f>
        <v>0</v>
      </c>
      <c r="F20" s="13">
        <f>IF('таблицы в текст'!$D$35=4,'таблицы в текст'!$C$265,0)</f>
        <v>0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</row>
    <row r="21" spans="1:32" s="27" customFormat="1" ht="15.75" customHeight="1">
      <c r="A21" s="271" t="str">
        <f>'таблицы в текст'!B266</f>
        <v>Транспорт (рефрижераторная машина)</v>
      </c>
      <c r="B21" s="17">
        <f>SUM(C21:F21)</f>
        <v>1500</v>
      </c>
      <c r="C21" s="13">
        <f>IF('таблицы в текст'!$D$35=1,'таблицы в текст'!$C$266,0)</f>
        <v>1500</v>
      </c>
      <c r="D21" s="13">
        <f>IF('таблицы в текст'!$D$35=2,'таблицы в текст'!$C$266,0)</f>
        <v>0</v>
      </c>
      <c r="E21" s="13">
        <f>IF('таблицы в текст'!$D$35=3,'таблицы в текст'!$C$266,0)</f>
        <v>0</v>
      </c>
      <c r="F21" s="13">
        <f>IF('таблицы в текст'!$D$35=4,'таблицы в текст'!$C$266,0)</f>
        <v>0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</row>
    <row r="22" spans="1:32" s="27" customFormat="1" ht="15.75" customHeight="1">
      <c r="A22" s="271" t="str">
        <f>'таблицы в текст'!B268</f>
        <v>Оборотные активы (птицы)</v>
      </c>
      <c r="B22" s="17">
        <f>SUM(C22:F22)</f>
        <v>600</v>
      </c>
      <c r="C22" s="13">
        <f>IF('таблицы в текст'!$D$35=1,'таблицы в текст'!$C$268,0)</f>
        <v>600</v>
      </c>
      <c r="D22" s="13">
        <f>IF('таблицы в текст'!$D$35=2,'таблицы в текст'!$C$268,0)</f>
        <v>0</v>
      </c>
      <c r="E22" s="13">
        <f>IF('таблицы в текст'!$D$35=3,'таблицы в текст'!$C$268,0)</f>
        <v>0</v>
      </c>
      <c r="F22" s="13">
        <f>IF('таблицы в текст'!$D$35=4,'таблицы в текст'!$C$268,0)</f>
        <v>0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</row>
    <row r="23" spans="1:34" s="16" customFormat="1" ht="15.75" customHeight="1">
      <c r="A23" s="17" t="s">
        <v>44</v>
      </c>
      <c r="B23" s="17">
        <f aca="true" t="shared" si="3" ref="B23:AE23">-B18</f>
        <v>-7779</v>
      </c>
      <c r="C23" s="17">
        <f t="shared" si="3"/>
        <v>-7779</v>
      </c>
      <c r="D23" s="17">
        <f>-D18</f>
        <v>0</v>
      </c>
      <c r="E23" s="17">
        <f>-E18</f>
        <v>0</v>
      </c>
      <c r="F23" s="17">
        <f>-F18</f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7">
        <f t="shared" si="3"/>
        <v>0</v>
      </c>
      <c r="AC23" s="17">
        <f t="shared" si="3"/>
        <v>0</v>
      </c>
      <c r="AD23" s="17">
        <f t="shared" si="3"/>
        <v>0</v>
      </c>
      <c r="AE23" s="17">
        <f t="shared" si="3"/>
        <v>0</v>
      </c>
      <c r="AF23" s="13">
        <f t="shared" si="0"/>
        <v>-7779</v>
      </c>
      <c r="AH23" s="15"/>
    </row>
    <row r="24" spans="1:32" s="15" customFormat="1" ht="13.5" customHeight="1">
      <c r="A24" s="141" t="s">
        <v>178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s="15" customFormat="1" ht="12.75">
      <c r="A25" s="38" t="s">
        <v>45</v>
      </c>
      <c r="B25" s="14">
        <f>B27+B28</f>
        <v>2977.3561643835615</v>
      </c>
      <c r="C25" s="14">
        <f>C27+C28</f>
        <v>2877.6301369863013</v>
      </c>
      <c r="D25" s="14">
        <f>D27+D28</f>
        <v>99.72602739726027</v>
      </c>
      <c r="E25" s="14">
        <f>E27+E28</f>
        <v>0</v>
      </c>
      <c r="F25" s="14">
        <f>F27+F28</f>
        <v>0</v>
      </c>
      <c r="G25" s="14">
        <f aca="true" t="shared" si="4" ref="G25:AE25">G27+G28</f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3">
        <f aca="true" t="shared" si="5" ref="AF25:AF31">AA25+V25+Q25+L25+G25+B25</f>
        <v>2977.3561643835615</v>
      </c>
    </row>
    <row r="26" spans="1:34" s="27" customFormat="1" ht="12" customHeight="1">
      <c r="A26" s="39" t="s">
        <v>9</v>
      </c>
      <c r="B26" s="14">
        <f>SUM(D26:F26)</f>
        <v>0</v>
      </c>
      <c r="C26" s="26"/>
      <c r="D26" s="26"/>
      <c r="E26" s="26"/>
      <c r="F26" s="26"/>
      <c r="G26" s="14">
        <f aca="true" t="shared" si="6" ref="G26:G31">SUM(H26:K26)</f>
        <v>0</v>
      </c>
      <c r="H26" s="26"/>
      <c r="I26" s="26"/>
      <c r="J26" s="26"/>
      <c r="K26" s="26"/>
      <c r="L26" s="14">
        <f aca="true" t="shared" si="7" ref="L26:L31">SUM(M26:P26)</f>
        <v>0</v>
      </c>
      <c r="M26" s="26"/>
      <c r="N26" s="26"/>
      <c r="O26" s="26"/>
      <c r="P26" s="26"/>
      <c r="Q26" s="14">
        <f aca="true" t="shared" si="8" ref="Q26:Q31">SUM(R26:U26)</f>
        <v>0</v>
      </c>
      <c r="R26" s="26"/>
      <c r="S26" s="26"/>
      <c r="T26" s="26"/>
      <c r="U26" s="26"/>
      <c r="V26" s="14">
        <f aca="true" t="shared" si="9" ref="V26:V31">SUM(W26:Z26)</f>
        <v>0</v>
      </c>
      <c r="W26" s="26"/>
      <c r="X26" s="26"/>
      <c r="Y26" s="26"/>
      <c r="Z26" s="26"/>
      <c r="AA26" s="14">
        <f aca="true" t="shared" si="10" ref="AA26:AA31">SUM(AB26:AE26)</f>
        <v>0</v>
      </c>
      <c r="AB26" s="26"/>
      <c r="AC26" s="26"/>
      <c r="AD26" s="26"/>
      <c r="AE26" s="26"/>
      <c r="AF26" s="13">
        <f t="shared" si="5"/>
        <v>0</v>
      </c>
      <c r="AH26" s="15"/>
    </row>
    <row r="27" spans="1:34" s="27" customFormat="1" ht="12.75">
      <c r="A27" s="39" t="s">
        <v>176</v>
      </c>
      <c r="B27" s="14">
        <f>SUM(C27:F27)</f>
        <v>2779</v>
      </c>
      <c r="C27" s="26">
        <f>IF(C18&gt;0,'таблицы в текст'!C255,0)</f>
        <v>2779</v>
      </c>
      <c r="D27" s="26">
        <f>IF(D18&gt;0,'таблицы в текст'!D255,0)</f>
        <v>0</v>
      </c>
      <c r="E27" s="26">
        <f>IF(E18&gt;0,'таблицы в текст'!E255,0)</f>
        <v>0</v>
      </c>
      <c r="F27" s="26">
        <f>IF(F18&gt;0,'таблицы в текст'!F255,0)</f>
        <v>0</v>
      </c>
      <c r="G27" s="14">
        <f t="shared" si="6"/>
        <v>0</v>
      </c>
      <c r="H27" s="26">
        <f>IF(H18&gt;0,'таблицы в текст'!H255,0)</f>
        <v>0</v>
      </c>
      <c r="I27" s="26">
        <f>IF(I18&gt;0,'таблицы в текст'!I255,0)</f>
        <v>0</v>
      </c>
      <c r="J27" s="26">
        <f>IF(J18&gt;0,'таблицы в текст'!J255,0)</f>
        <v>0</v>
      </c>
      <c r="K27" s="26">
        <f>IF(K18&gt;0,'таблицы в текст'!K255,0)</f>
        <v>0</v>
      </c>
      <c r="L27" s="14">
        <f t="shared" si="7"/>
        <v>0</v>
      </c>
      <c r="M27" s="26">
        <f>IF(M18&gt;0,'таблицы в текст'!M255,0)</f>
        <v>0</v>
      </c>
      <c r="N27" s="26">
        <f>IF(N18&gt;0,'таблицы в текст'!N255,0)</f>
        <v>0</v>
      </c>
      <c r="O27" s="26">
        <f>IF(O18&gt;0,'таблицы в текст'!O255,0)</f>
        <v>0</v>
      </c>
      <c r="P27" s="26">
        <f>IF(P18&gt;0,'таблицы в текст'!P255,0)</f>
        <v>0</v>
      </c>
      <c r="Q27" s="14">
        <f t="shared" si="8"/>
        <v>0</v>
      </c>
      <c r="R27" s="26">
        <f>IF(R18&gt;0,'таблицы в текст'!R255,0)</f>
        <v>0</v>
      </c>
      <c r="S27" s="26">
        <f>IF(S18&gt;0,'таблицы в текст'!S255,0)</f>
        <v>0</v>
      </c>
      <c r="T27" s="26">
        <f>IF(T18&gt;0,'таблицы в текст'!T255,0)</f>
        <v>0</v>
      </c>
      <c r="U27" s="26">
        <f>IF(U18&gt;0,'таблицы в текст'!U255,0)</f>
        <v>0</v>
      </c>
      <c r="V27" s="14">
        <f t="shared" si="9"/>
        <v>0</v>
      </c>
      <c r="W27" s="26">
        <f>IF(W18&gt;0,'таблицы в текст'!W255,0)</f>
        <v>0</v>
      </c>
      <c r="X27" s="26">
        <f>IF(X18&gt;0,'таблицы в текст'!X255,0)</f>
        <v>0</v>
      </c>
      <c r="Y27" s="26">
        <f>IF(Y18&gt;0,'таблицы в текст'!Y255,0)</f>
        <v>0</v>
      </c>
      <c r="Z27" s="26">
        <f>IF(Z18&gt;0,'таблицы в текст'!Z255,0)</f>
        <v>0</v>
      </c>
      <c r="AA27" s="14">
        <f t="shared" si="10"/>
        <v>0</v>
      </c>
      <c r="AB27" s="26">
        <f>IF(AB18&gt;0,'таблицы в текст'!AB255,0)</f>
        <v>0</v>
      </c>
      <c r="AC27" s="26">
        <f>IF(AC18&gt;0,'таблицы в текст'!AC255,0)</f>
        <v>0</v>
      </c>
      <c r="AD27" s="26">
        <f>IF(AD18&gt;0,'таблицы в текст'!AD255,0)</f>
        <v>0</v>
      </c>
      <c r="AE27" s="26">
        <f>IF(AE18&gt;0,'таблицы в текст'!AE255,0)</f>
        <v>0</v>
      </c>
      <c r="AF27" s="13">
        <f t="shared" si="5"/>
        <v>2779</v>
      </c>
      <c r="AH27" s="15"/>
    </row>
    <row r="28" spans="1:34" s="27" customFormat="1" ht="12.75">
      <c r="A28" s="39" t="s">
        <v>32</v>
      </c>
      <c r="B28" s="26">
        <f>SUM(C28:F28)</f>
        <v>198.35616438356163</v>
      </c>
      <c r="C28" s="26">
        <f>IF(C11=0,C30,0)</f>
        <v>98.63013698630137</v>
      </c>
      <c r="D28" s="26">
        <f>IF(D11=0,D30,0)</f>
        <v>99.72602739726027</v>
      </c>
      <c r="E28" s="26">
        <f>IF(E11=0,E30,0)</f>
        <v>0</v>
      </c>
      <c r="F28" s="26">
        <f>IF(F11=0,F30,0)</f>
        <v>0</v>
      </c>
      <c r="G28" s="26">
        <f t="shared" si="6"/>
        <v>0</v>
      </c>
      <c r="H28" s="26">
        <f>IF(H11=0,H30,0)</f>
        <v>0</v>
      </c>
      <c r="I28" s="26">
        <f>IF(I11=0,I30,0)</f>
        <v>0</v>
      </c>
      <c r="J28" s="26">
        <f>IF(J11=0,J30,0)</f>
        <v>0</v>
      </c>
      <c r="K28" s="26">
        <f>IF(K11=0,K30,0)</f>
        <v>0</v>
      </c>
      <c r="L28" s="26">
        <f t="shared" si="7"/>
        <v>0</v>
      </c>
      <c r="M28" s="26">
        <f>IF(M11=0,M30,0)</f>
        <v>0</v>
      </c>
      <c r="N28" s="26">
        <f>IF(N11=0,N30,0)</f>
        <v>0</v>
      </c>
      <c r="O28" s="26">
        <f>IF(O11=0,O30,0)</f>
        <v>0</v>
      </c>
      <c r="P28" s="26">
        <f>IF(P11=0,P30,0)</f>
        <v>0</v>
      </c>
      <c r="Q28" s="26">
        <f t="shared" si="8"/>
        <v>0</v>
      </c>
      <c r="R28" s="26">
        <f>IF(R11=0,R30,0)</f>
        <v>0</v>
      </c>
      <c r="S28" s="26">
        <f>IF(S11=0,S30,0)</f>
        <v>0</v>
      </c>
      <c r="T28" s="26">
        <f>IF(T11=0,T30,0)</f>
        <v>0</v>
      </c>
      <c r="U28" s="26">
        <f>IF(U11=0,U30,0)</f>
        <v>0</v>
      </c>
      <c r="V28" s="26">
        <f t="shared" si="9"/>
        <v>0</v>
      </c>
      <c r="W28" s="26">
        <f>IF(W11=0,W30,0)</f>
        <v>0</v>
      </c>
      <c r="X28" s="26">
        <f>IF(X11=0,X30,0)</f>
        <v>0</v>
      </c>
      <c r="Y28" s="26">
        <f>IF(Y11=0,Y30,0)</f>
        <v>0</v>
      </c>
      <c r="Z28" s="26">
        <f>IF(Z11=0,Z30,0)</f>
        <v>0</v>
      </c>
      <c r="AA28" s="26">
        <f t="shared" si="10"/>
        <v>0</v>
      </c>
      <c r="AB28" s="26">
        <f>IF(AB11=0,AB30,0)</f>
        <v>0</v>
      </c>
      <c r="AC28" s="26">
        <f>IF(AC11=0,AC30,0)</f>
        <v>0</v>
      </c>
      <c r="AD28" s="26">
        <f>IF(AD11=0,AD30,0)</f>
        <v>0</v>
      </c>
      <c r="AE28" s="26">
        <f>IF(AE11=0,AE30,0)</f>
        <v>0</v>
      </c>
      <c r="AF28" s="13">
        <f t="shared" si="5"/>
        <v>198.35616438356163</v>
      </c>
      <c r="AH28" s="15"/>
    </row>
    <row r="29" spans="1:32" s="15" customFormat="1" ht="15" customHeight="1">
      <c r="A29" s="38" t="s">
        <v>43</v>
      </c>
      <c r="B29" s="14">
        <f>SUM(C29:F29)</f>
        <v>5000</v>
      </c>
      <c r="C29" s="14">
        <f>IF(C18&gt;0,'таблицы в текст'!$C$251,0)</f>
        <v>5000</v>
      </c>
      <c r="D29" s="14">
        <f>IF(D18&gt;0,'таблицы в текст'!$C$251,0)</f>
        <v>0</v>
      </c>
      <c r="E29" s="14">
        <f>IF(E18&gt;0,'таблицы в текст'!$C$251,0)</f>
        <v>0</v>
      </c>
      <c r="F29" s="14">
        <f>IF(F18&gt;0,'таблицы в текст'!$C$251,0)</f>
        <v>0</v>
      </c>
      <c r="G29" s="26">
        <f t="shared" si="6"/>
        <v>0</v>
      </c>
      <c r="H29" s="14"/>
      <c r="I29" s="14"/>
      <c r="J29" s="14"/>
      <c r="K29" s="14"/>
      <c r="L29" s="26">
        <f t="shared" si="7"/>
        <v>0</v>
      </c>
      <c r="M29" s="14"/>
      <c r="N29" s="14"/>
      <c r="O29" s="14"/>
      <c r="P29" s="14"/>
      <c r="Q29" s="26">
        <f t="shared" si="8"/>
        <v>0</v>
      </c>
      <c r="R29" s="14"/>
      <c r="S29" s="14"/>
      <c r="T29" s="14"/>
      <c r="U29" s="14"/>
      <c r="V29" s="26">
        <f t="shared" si="9"/>
        <v>0</v>
      </c>
      <c r="W29" s="14"/>
      <c r="X29" s="14"/>
      <c r="Y29" s="14"/>
      <c r="Z29" s="14"/>
      <c r="AA29" s="26">
        <f t="shared" si="10"/>
        <v>0</v>
      </c>
      <c r="AB29" s="14"/>
      <c r="AC29" s="14"/>
      <c r="AD29" s="14"/>
      <c r="AE29" s="14"/>
      <c r="AF29" s="13">
        <f t="shared" si="5"/>
        <v>5000</v>
      </c>
    </row>
    <row r="30" spans="1:32" s="15" customFormat="1" ht="17.25" customHeight="1">
      <c r="A30" s="14" t="s">
        <v>46</v>
      </c>
      <c r="B30" s="14">
        <f>SUM(C30:F30)</f>
        <v>399.99999999999994</v>
      </c>
      <c r="C30" s="14">
        <f>'таблицы в текст'!C282</f>
        <v>98.63013698630137</v>
      </c>
      <c r="D30" s="14">
        <f>'таблицы в текст'!D282</f>
        <v>99.72602739726027</v>
      </c>
      <c r="E30" s="14">
        <f>'таблицы в текст'!E282</f>
        <v>100.82191780821917</v>
      </c>
      <c r="F30" s="14">
        <f>'таблицы в текст'!F282</f>
        <v>100.82191780821917</v>
      </c>
      <c r="G30" s="14">
        <f t="shared" si="6"/>
        <v>350.2186469777991</v>
      </c>
      <c r="H30" s="14">
        <f>'таблицы в текст'!C289</f>
        <v>93.85313428809745</v>
      </c>
      <c r="I30" s="14">
        <f>'таблицы в текст'!D289</f>
        <v>89.9268725660861</v>
      </c>
      <c r="J30" s="14">
        <f>'таблицы в текст'!E289</f>
        <v>85.81222977201882</v>
      </c>
      <c r="K30" s="14">
        <f>'таблицы в текст'!F289</f>
        <v>80.62641035159668</v>
      </c>
      <c r="L30" s="14">
        <f t="shared" si="7"/>
        <v>265.9945631665244</v>
      </c>
      <c r="M30" s="14">
        <f>'таблицы в текст'!C296</f>
        <v>73.69828246888014</v>
      </c>
      <c r="N30" s="14">
        <f>'таблицы в текст'!D296</f>
        <v>69.14608528793532</v>
      </c>
      <c r="O30" s="14">
        <f>'таблицы в текст'!E296</f>
        <v>64.38405042871855</v>
      </c>
      <c r="P30" s="14">
        <f>'таблицы в текст'!F296</f>
        <v>58.76614498099041</v>
      </c>
      <c r="Q30" s="14">
        <f t="shared" si="8"/>
        <v>174.82771199107202</v>
      </c>
      <c r="R30" s="14">
        <f>'таблицы в текст'!C303</f>
        <v>51.8820240648925</v>
      </c>
      <c r="S30" s="14">
        <f>'таблицы в текст'!D303</f>
        <v>46.6522942561319</v>
      </c>
      <c r="T30" s="14">
        <f>'таблицы в текст'!E303</f>
        <v>41.189501449961384</v>
      </c>
      <c r="U30" s="14">
        <f>'таблицы в текст'!F303</f>
        <v>35.10389222008625</v>
      </c>
      <c r="V30" s="14">
        <f t="shared" si="9"/>
        <v>76.14578661838566</v>
      </c>
      <c r="W30" s="14">
        <f>'таблицы в текст'!C310</f>
        <v>28.26740585689594</v>
      </c>
      <c r="X30" s="14">
        <f>'таблицы в текст'!D310</f>
        <v>22.304292988902525</v>
      </c>
      <c r="Y30" s="14">
        <f>'таблицы в текст'!E310</f>
        <v>16.082977292734164</v>
      </c>
      <c r="Z30" s="14">
        <f>'таблицы в текст'!F310</f>
        <v>9.491110479853022</v>
      </c>
      <c r="AA30" s="14">
        <f t="shared" si="10"/>
        <v>0</v>
      </c>
      <c r="AB30" s="14">
        <f>'таблицы в текст'!C317</f>
        <v>0</v>
      </c>
      <c r="AC30" s="14">
        <f>'таблицы в текст'!D317</f>
        <v>0</v>
      </c>
      <c r="AD30" s="14">
        <f>'таблицы в текст'!E317</f>
        <v>0</v>
      </c>
      <c r="AE30" s="14">
        <f>'таблицы в текст'!F317</f>
        <v>0</v>
      </c>
      <c r="AF30" s="13">
        <f t="shared" si="5"/>
        <v>1267.1867087537812</v>
      </c>
    </row>
    <row r="31" spans="1:32" s="15" customFormat="1" ht="18.75" customHeight="1">
      <c r="A31" s="14" t="s">
        <v>47</v>
      </c>
      <c r="B31" s="14">
        <f>SUM(C31:F31)</f>
        <v>242.16749789506088</v>
      </c>
      <c r="C31" s="14">
        <f>'таблицы в текст'!C283</f>
        <v>0</v>
      </c>
      <c r="D31" s="14">
        <f>'таблицы в текст'!D283</f>
        <v>0</v>
      </c>
      <c r="E31" s="14">
        <f>'таблицы в текст'!E283</f>
        <v>0</v>
      </c>
      <c r="F31" s="14">
        <f>'таблицы в текст'!F283</f>
        <v>242.16749789506088</v>
      </c>
      <c r="G31" s="14">
        <f t="shared" si="6"/>
        <v>1021.739015835321</v>
      </c>
      <c r="H31" s="14">
        <f>'таблицы в текст'!C290</f>
        <v>249.13628141518257</v>
      </c>
      <c r="I31" s="14">
        <f>'таблицы в текст'!D290</f>
        <v>253.06254313719393</v>
      </c>
      <c r="J31" s="14">
        <f>'таблицы в текст'!E290</f>
        <v>257.1771859312612</v>
      </c>
      <c r="K31" s="14">
        <f>'таблицы в текст'!F290</f>
        <v>262.36300535168334</v>
      </c>
      <c r="L31" s="14">
        <f t="shared" si="7"/>
        <v>1105.9630996465958</v>
      </c>
      <c r="M31" s="14">
        <f>'таблицы в текст'!C297</f>
        <v>269.2911332343999</v>
      </c>
      <c r="N31" s="14">
        <f>'таблицы в текст'!D297</f>
        <v>273.8433304153447</v>
      </c>
      <c r="O31" s="14">
        <f>'таблицы в текст'!E297</f>
        <v>278.60536527456145</v>
      </c>
      <c r="P31" s="14">
        <f>'таблицы в текст'!F297</f>
        <v>284.2232707222896</v>
      </c>
      <c r="Q31" s="13">
        <f t="shared" si="8"/>
        <v>1197.1299508220482</v>
      </c>
      <c r="R31" s="14">
        <f>'таблицы в текст'!C304</f>
        <v>291.1073916383875</v>
      </c>
      <c r="S31" s="14">
        <f>'таблицы в текст'!D304</f>
        <v>296.33712144714815</v>
      </c>
      <c r="T31" s="14">
        <f>'таблицы в текст'!E304</f>
        <v>301.79991425331866</v>
      </c>
      <c r="U31" s="14">
        <f>'таблицы в текст'!F304</f>
        <v>307.88552348319377</v>
      </c>
      <c r="V31" s="14">
        <f t="shared" si="9"/>
        <v>1433.0004358009749</v>
      </c>
      <c r="W31" s="14">
        <f>'таблицы в текст'!C311</f>
        <v>314.7220098463841</v>
      </c>
      <c r="X31" s="14">
        <f>'таблицы в текст'!D311</f>
        <v>320.6851227143775</v>
      </c>
      <c r="Y31" s="14">
        <f>'таблицы в текст'!E311</f>
        <v>326.9064384105459</v>
      </c>
      <c r="Z31" s="14">
        <f>'таблицы в текст'!F311</f>
        <v>470.68686482966746</v>
      </c>
      <c r="AA31" s="13">
        <f t="shared" si="10"/>
        <v>0</v>
      </c>
      <c r="AB31" s="14">
        <f>'таблицы в текст'!C318</f>
        <v>0</v>
      </c>
      <c r="AC31" s="14">
        <f>'таблицы в текст'!D318</f>
        <v>0</v>
      </c>
      <c r="AD31" s="14">
        <f>'таблицы в текст'!E318</f>
        <v>0</v>
      </c>
      <c r="AE31" s="14">
        <f>'таблицы в текст'!F318</f>
        <v>0</v>
      </c>
      <c r="AF31" s="13">
        <f t="shared" si="5"/>
        <v>5000</v>
      </c>
    </row>
    <row r="32" spans="1:34" s="16" customFormat="1" ht="19.5" customHeight="1">
      <c r="A32" s="17" t="s">
        <v>48</v>
      </c>
      <c r="B32" s="14">
        <f>B25+B29-B30-B31</f>
        <v>7335.188666488501</v>
      </c>
      <c r="C32" s="14">
        <f aca="true" t="shared" si="11" ref="C32:AF32">C25+C29-C30-C31</f>
        <v>7779</v>
      </c>
      <c r="D32" s="14">
        <f t="shared" si="11"/>
        <v>0</v>
      </c>
      <c r="E32" s="14">
        <f t="shared" si="11"/>
        <v>-100.82191780821917</v>
      </c>
      <c r="F32" s="14">
        <f t="shared" si="11"/>
        <v>-342.98941570328003</v>
      </c>
      <c r="G32" s="14">
        <f t="shared" si="11"/>
        <v>-1371.9576628131201</v>
      </c>
      <c r="H32" s="14">
        <f t="shared" si="11"/>
        <v>-342.98941570328003</v>
      </c>
      <c r="I32" s="14">
        <f t="shared" si="11"/>
        <v>-342.98941570328003</v>
      </c>
      <c r="J32" s="14">
        <f t="shared" si="11"/>
        <v>-342.98941570328003</v>
      </c>
      <c r="K32" s="14">
        <f t="shared" si="11"/>
        <v>-342.98941570328003</v>
      </c>
      <c r="L32" s="14">
        <f t="shared" si="11"/>
        <v>-1371.9576628131201</v>
      </c>
      <c r="M32" s="14">
        <f t="shared" si="11"/>
        <v>-342.9894157032801</v>
      </c>
      <c r="N32" s="14">
        <f t="shared" si="11"/>
        <v>-342.98941570328003</v>
      </c>
      <c r="O32" s="14">
        <f t="shared" si="11"/>
        <v>-342.98941570328</v>
      </c>
      <c r="P32" s="14">
        <f t="shared" si="11"/>
        <v>-342.98941570328003</v>
      </c>
      <c r="Q32" s="14">
        <f t="shared" si="11"/>
        <v>-1371.9576628131201</v>
      </c>
      <c r="R32" s="14">
        <f t="shared" si="11"/>
        <v>-342.98941570328003</v>
      </c>
      <c r="S32" s="14">
        <f t="shared" si="11"/>
        <v>-342.98941570328003</v>
      </c>
      <c r="T32" s="14">
        <f t="shared" si="11"/>
        <v>-342.98941570328003</v>
      </c>
      <c r="U32" s="14">
        <f t="shared" si="11"/>
        <v>-342.98941570328003</v>
      </c>
      <c r="V32" s="14">
        <f t="shared" si="11"/>
        <v>-1509.1462224193606</v>
      </c>
      <c r="W32" s="14">
        <f t="shared" si="11"/>
        <v>-342.98941570328003</v>
      </c>
      <c r="X32" s="14">
        <f t="shared" si="11"/>
        <v>-342.98941570328003</v>
      </c>
      <c r="Y32" s="14">
        <f t="shared" si="11"/>
        <v>-342.98941570328003</v>
      </c>
      <c r="Z32" s="14">
        <f t="shared" si="11"/>
        <v>-480.1779753095205</v>
      </c>
      <c r="AA32" s="14">
        <f t="shared" si="11"/>
        <v>0</v>
      </c>
      <c r="AB32" s="14">
        <f t="shared" si="11"/>
        <v>0</v>
      </c>
      <c r="AC32" s="14">
        <f t="shared" si="11"/>
        <v>0</v>
      </c>
      <c r="AD32" s="14">
        <f t="shared" si="11"/>
        <v>0</v>
      </c>
      <c r="AE32" s="14">
        <f t="shared" si="11"/>
        <v>0</v>
      </c>
      <c r="AF32" s="14">
        <f t="shared" si="11"/>
        <v>1710.1694556297807</v>
      </c>
      <c r="AH32" s="15"/>
    </row>
    <row r="33" spans="1:34" s="40" customFormat="1" ht="29.25" customHeight="1">
      <c r="A33" s="22" t="s">
        <v>51</v>
      </c>
      <c r="B33" s="14">
        <f aca="true" t="shared" si="12" ref="B33:AE33">B32+B23+B16</f>
        <v>362.6850008254429</v>
      </c>
      <c r="C33" s="14">
        <f t="shared" si="12"/>
        <v>0</v>
      </c>
      <c r="D33" s="14">
        <f t="shared" si="12"/>
        <v>0</v>
      </c>
      <c r="E33" s="14">
        <f t="shared" si="12"/>
        <v>238.39641506025157</v>
      </c>
      <c r="F33" s="14">
        <f t="shared" si="12"/>
        <v>124.2885857651907</v>
      </c>
      <c r="G33" s="14">
        <f>G32+G23+G16</f>
        <v>1116.2844251455474</v>
      </c>
      <c r="H33" s="14">
        <f>H32+H23+H16</f>
        <v>123.87045875398343</v>
      </c>
      <c r="I33" s="14">
        <f>I32+I23+I16</f>
        <v>300.5990818906625</v>
      </c>
      <c r="J33" s="14">
        <f>J32+J23+J16</f>
        <v>568.7380291831084</v>
      </c>
      <c r="K33" s="14">
        <f>K32+K23+K16</f>
        <v>123.07685531779339</v>
      </c>
      <c r="L33" s="14">
        <f t="shared" si="12"/>
        <v>1111.230980116871</v>
      </c>
      <c r="M33" s="14">
        <f t="shared" si="12"/>
        <v>122.66116764483036</v>
      </c>
      <c r="N33" s="14">
        <f t="shared" si="12"/>
        <v>299.3522346539734</v>
      </c>
      <c r="O33" s="14">
        <f t="shared" si="12"/>
        <v>567.4523384225106</v>
      </c>
      <c r="P33" s="14">
        <f t="shared" si="12"/>
        <v>121.76523939555699</v>
      </c>
      <c r="Q33" s="14">
        <f t="shared" si="12"/>
        <v>1105.760969046344</v>
      </c>
      <c r="R33" s="14">
        <f t="shared" si="12"/>
        <v>121.35219214059111</v>
      </c>
      <c r="S33" s="14">
        <f t="shared" si="12"/>
        <v>298.0026071920652</v>
      </c>
      <c r="T33" s="14">
        <f t="shared" si="12"/>
        <v>566.060665483785</v>
      </c>
      <c r="U33" s="14">
        <f t="shared" si="12"/>
        <v>120.34550422990276</v>
      </c>
      <c r="V33" s="14">
        <f t="shared" si="12"/>
        <v>962.6514939177423</v>
      </c>
      <c r="W33" s="14">
        <f t="shared" si="12"/>
        <v>119.93531504811136</v>
      </c>
      <c r="X33" s="14">
        <f t="shared" si="12"/>
        <v>296.5417271160314</v>
      </c>
      <c r="Y33" s="14">
        <f t="shared" si="12"/>
        <v>564.5542740343515</v>
      </c>
      <c r="Z33" s="14">
        <f t="shared" si="12"/>
        <v>-18.379822280751682</v>
      </c>
      <c r="AA33" s="14">
        <f t="shared" si="12"/>
        <v>0</v>
      </c>
      <c r="AB33" s="14">
        <f t="shared" si="12"/>
        <v>0</v>
      </c>
      <c r="AC33" s="14">
        <f t="shared" si="12"/>
        <v>0</v>
      </c>
      <c r="AD33" s="14">
        <f t="shared" si="12"/>
        <v>0</v>
      </c>
      <c r="AE33" s="14">
        <f t="shared" si="12"/>
        <v>0</v>
      </c>
      <c r="AF33" s="13">
        <f>AA33+V33+Q33+L33+G33+B33</f>
        <v>4658.612869051948</v>
      </c>
      <c r="AH33" s="15"/>
    </row>
    <row r="34" spans="1:34" s="40" customFormat="1" ht="17.25" customHeight="1">
      <c r="A34" s="22" t="s">
        <v>49</v>
      </c>
      <c r="B34" s="22">
        <v>0</v>
      </c>
      <c r="C34" s="22"/>
      <c r="D34" s="22"/>
      <c r="E34" s="22">
        <f>D35</f>
        <v>0</v>
      </c>
      <c r="F34" s="22">
        <f>E35</f>
        <v>238.39641506025157</v>
      </c>
      <c r="G34" s="22">
        <f>B35</f>
        <v>362.6850008254429</v>
      </c>
      <c r="H34" s="22">
        <f>F35</f>
        <v>362.6850008254423</v>
      </c>
      <c r="I34" s="22">
        <f>H35</f>
        <v>486.5554595794257</v>
      </c>
      <c r="J34" s="22">
        <f>I35</f>
        <v>787.1545414700881</v>
      </c>
      <c r="K34" s="22">
        <f>J35</f>
        <v>1355.8925706531966</v>
      </c>
      <c r="L34" s="22">
        <f>G35</f>
        <v>1478.9694259709904</v>
      </c>
      <c r="M34" s="22">
        <f>K35</f>
        <v>1478.96942597099</v>
      </c>
      <c r="N34" s="22">
        <f>M35</f>
        <v>1601.6305936158203</v>
      </c>
      <c r="O34" s="22">
        <f>N35</f>
        <v>1900.9828282697938</v>
      </c>
      <c r="P34" s="22">
        <f>O35</f>
        <v>2468.4351666923044</v>
      </c>
      <c r="Q34" s="22">
        <f>L35</f>
        <v>2590.2004060878617</v>
      </c>
      <c r="R34" s="22">
        <f>P35</f>
        <v>2590.200406087861</v>
      </c>
      <c r="S34" s="22">
        <f>R35</f>
        <v>2711.5525982284526</v>
      </c>
      <c r="T34" s="22">
        <f>S35</f>
        <v>3009.5552054205177</v>
      </c>
      <c r="U34" s="22">
        <f>T35</f>
        <v>3575.615870904303</v>
      </c>
      <c r="V34" s="22">
        <f>Q35</f>
        <v>3695.961375134206</v>
      </c>
      <c r="W34" s="22">
        <f>U35</f>
        <v>3695.961375134206</v>
      </c>
      <c r="X34" s="22">
        <f>W35</f>
        <v>3815.8966901823173</v>
      </c>
      <c r="Y34" s="22">
        <f>X35</f>
        <v>4112.438417298349</v>
      </c>
      <c r="Z34" s="22">
        <f>Y35</f>
        <v>4676.992691332701</v>
      </c>
      <c r="AA34" s="22">
        <f>V35</f>
        <v>4658.612869051948</v>
      </c>
      <c r="AB34" s="22">
        <f>Z35</f>
        <v>4658.612869051949</v>
      </c>
      <c r="AC34" s="22">
        <f>AB35</f>
        <v>4658.612869051949</v>
      </c>
      <c r="AD34" s="22">
        <f>AC35</f>
        <v>4658.612869051949</v>
      </c>
      <c r="AE34" s="22">
        <f>AD35</f>
        <v>4658.612869051949</v>
      </c>
      <c r="AF34" s="22">
        <f>C34</f>
        <v>0</v>
      </c>
      <c r="AH34" s="15"/>
    </row>
    <row r="35" spans="1:34" s="42" customFormat="1" ht="13.5" customHeight="1" thickBot="1">
      <c r="A35" s="142" t="s">
        <v>50</v>
      </c>
      <c r="B35" s="142">
        <f aca="true" t="shared" si="13" ref="B35:G35">B34+B33</f>
        <v>362.6850008254429</v>
      </c>
      <c r="C35" s="142">
        <f t="shared" si="13"/>
        <v>0</v>
      </c>
      <c r="D35" s="142">
        <f t="shared" si="13"/>
        <v>0</v>
      </c>
      <c r="E35" s="142">
        <f>E34+E33</f>
        <v>238.39641506025157</v>
      </c>
      <c r="F35" s="142">
        <f t="shared" si="13"/>
        <v>362.6850008254423</v>
      </c>
      <c r="G35" s="142">
        <f t="shared" si="13"/>
        <v>1478.9694259709904</v>
      </c>
      <c r="H35" s="142">
        <f>H34+H33</f>
        <v>486.5554595794257</v>
      </c>
      <c r="I35" s="142">
        <f aca="true" t="shared" si="14" ref="I35:S35">I34+I33</f>
        <v>787.1545414700881</v>
      </c>
      <c r="J35" s="142">
        <f t="shared" si="14"/>
        <v>1355.8925706531966</v>
      </c>
      <c r="K35" s="142">
        <f t="shared" si="14"/>
        <v>1478.96942597099</v>
      </c>
      <c r="L35" s="142">
        <f t="shared" si="14"/>
        <v>2590.2004060878617</v>
      </c>
      <c r="M35" s="142">
        <f t="shared" si="14"/>
        <v>1601.6305936158203</v>
      </c>
      <c r="N35" s="142">
        <f t="shared" si="14"/>
        <v>1900.9828282697938</v>
      </c>
      <c r="O35" s="142">
        <f t="shared" si="14"/>
        <v>2468.4351666923044</v>
      </c>
      <c r="P35" s="142">
        <f t="shared" si="14"/>
        <v>2590.200406087861</v>
      </c>
      <c r="Q35" s="142">
        <f t="shared" si="14"/>
        <v>3695.961375134206</v>
      </c>
      <c r="R35" s="142">
        <f t="shared" si="14"/>
        <v>2711.5525982284526</v>
      </c>
      <c r="S35" s="142">
        <f t="shared" si="14"/>
        <v>3009.5552054205177</v>
      </c>
      <c r="T35" s="142">
        <f aca="true" t="shared" si="15" ref="T35:Z35">T34+T33</f>
        <v>3575.615870904303</v>
      </c>
      <c r="U35" s="142">
        <f t="shared" si="15"/>
        <v>3695.961375134206</v>
      </c>
      <c r="V35" s="142">
        <f t="shared" si="15"/>
        <v>4658.612869051948</v>
      </c>
      <c r="W35" s="142">
        <f t="shared" si="15"/>
        <v>3815.8966901823173</v>
      </c>
      <c r="X35" s="142">
        <f t="shared" si="15"/>
        <v>4112.438417298349</v>
      </c>
      <c r="Y35" s="142">
        <f t="shared" si="15"/>
        <v>4676.992691332701</v>
      </c>
      <c r="Z35" s="142">
        <f t="shared" si="15"/>
        <v>4658.612869051949</v>
      </c>
      <c r="AA35" s="142">
        <f aca="true" t="shared" si="16" ref="AA35:AF35">AA34+AA33</f>
        <v>4658.612869051948</v>
      </c>
      <c r="AB35" s="142">
        <f t="shared" si="16"/>
        <v>4658.612869051949</v>
      </c>
      <c r="AC35" s="142">
        <f t="shared" si="16"/>
        <v>4658.612869051949</v>
      </c>
      <c r="AD35" s="142">
        <f t="shared" si="16"/>
        <v>4658.612869051949</v>
      </c>
      <c r="AE35" s="142">
        <f t="shared" si="16"/>
        <v>4658.612869051949</v>
      </c>
      <c r="AF35" s="142">
        <f t="shared" si="16"/>
        <v>4658.612869051948</v>
      </c>
      <c r="AH35" s="15"/>
    </row>
    <row r="36" spans="1:27" ht="13.5" customHeight="1" thickTop="1">
      <c r="A36" s="172"/>
      <c r="AA36" s="35"/>
    </row>
    <row r="37" spans="1:27" ht="13.5" customHeight="1">
      <c r="A37" s="173" t="s">
        <v>213</v>
      </c>
      <c r="B37" s="174"/>
      <c r="AA37" s="35"/>
    </row>
    <row r="38" ht="13.5" customHeight="1">
      <c r="AA38" s="35"/>
    </row>
    <row r="39" ht="13.5" customHeight="1">
      <c r="AA39" s="35"/>
    </row>
    <row r="40" ht="13.5" customHeight="1">
      <c r="AA40" s="35"/>
    </row>
    <row r="41" ht="13.5" customHeight="1">
      <c r="AA41" s="35"/>
    </row>
    <row r="42" ht="13.5" customHeight="1">
      <c r="AA42" s="35"/>
    </row>
    <row r="43" ht="13.5" customHeight="1">
      <c r="AA43" s="35"/>
    </row>
    <row r="44" ht="13.5" customHeight="1">
      <c r="AA44" s="35"/>
    </row>
    <row r="45" ht="13.5" customHeight="1">
      <c r="AA45" s="35"/>
    </row>
    <row r="46" ht="13.5" customHeight="1">
      <c r="AA46" s="35"/>
    </row>
    <row r="47" ht="13.5" customHeight="1">
      <c r="AA47" s="35"/>
    </row>
    <row r="48" ht="13.5" customHeight="1">
      <c r="AA48" s="35"/>
    </row>
    <row r="49" ht="13.5" customHeight="1">
      <c r="AA49" s="35"/>
    </row>
    <row r="50" ht="13.5" customHeight="1">
      <c r="AA50" s="35"/>
    </row>
    <row r="51" ht="13.5" customHeight="1">
      <c r="AA51" s="35"/>
    </row>
    <row r="52" ht="13.5" customHeight="1">
      <c r="AA52" s="35"/>
    </row>
    <row r="53" ht="13.5" customHeight="1">
      <c r="AA53" s="35"/>
    </row>
  </sheetData>
  <sheetProtection/>
  <mergeCells count="20">
    <mergeCell ref="C8:F8"/>
    <mergeCell ref="H8:K8"/>
    <mergeCell ref="R8:U8"/>
    <mergeCell ref="V7:Z7"/>
    <mergeCell ref="W8:Z8"/>
    <mergeCell ref="Q8:Q9"/>
    <mergeCell ref="L7:P7"/>
    <mergeCell ref="M8:P8"/>
    <mergeCell ref="Q7:U7"/>
    <mergeCell ref="V8:V9"/>
    <mergeCell ref="AA7:AE7"/>
    <mergeCell ref="AA8:AA9"/>
    <mergeCell ref="AB8:AE8"/>
    <mergeCell ref="AF7:AF9"/>
    <mergeCell ref="A7:A9"/>
    <mergeCell ref="G7:K7"/>
    <mergeCell ref="B7:F7"/>
    <mergeCell ref="L8:L9"/>
    <mergeCell ref="B8:B9"/>
    <mergeCell ref="G8:G9"/>
  </mergeCells>
  <printOptions horizontalCentered="1"/>
  <pageMargins left="0.15748031496062992" right="0.1968503937007874" top="0.3937007874015748" bottom="0.2362204724409449" header="0.7086614173228347" footer="0.6299212598425197"/>
  <pageSetup fitToWidth="2" fitToHeight="1" horizontalDpi="120" verticalDpi="12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Божевольная З.А. BiZinvest14</dc:creator>
  <cp:keywords/>
  <dc:description/>
  <cp:lastModifiedBy>Пользователь Windows</cp:lastModifiedBy>
  <cp:lastPrinted>2019-09-20T20:49:48Z</cp:lastPrinted>
  <dcterms:created xsi:type="dcterms:W3CDTF">2004-11-08T08:09:30Z</dcterms:created>
  <dcterms:modified xsi:type="dcterms:W3CDTF">2019-09-22T09:19:12Z</dcterms:modified>
  <cp:category/>
  <cp:version/>
  <cp:contentType/>
  <cp:contentStatus/>
</cp:coreProperties>
</file>