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30" windowWidth="11040" windowHeight="8100" tabRatio="750" activeTab="0"/>
  </bookViews>
  <sheets>
    <sheet name="таблицы в текст" sheetId="1" r:id="rId1"/>
    <sheet name="приложение 1" sheetId="2" r:id="rId2"/>
    <sheet name="приложение 2" sheetId="3" r:id="rId3"/>
  </sheets>
  <externalReferences>
    <externalReference r:id="rId6"/>
  </externalReferences>
  <definedNames>
    <definedName name="_01.янв.19">#REF!</definedName>
    <definedName name="month_in_per">'[1]Input'!$D$41</definedName>
    <definedName name="график">#REF!</definedName>
    <definedName name="Даты">#REF!</definedName>
    <definedName name="_xlnm.Print_Titles" localSheetId="1">'приложение 1'!$A:$A</definedName>
    <definedName name="_xlnm.Print_Titles" localSheetId="2">'приложение 2'!$A:$A,'приложение 2'!$7:$9</definedName>
    <definedName name="_xlnm.Print_Area" localSheetId="1">'приложение 1'!$A$1:$AF$34</definedName>
    <definedName name="_xlnm.Print_Area" localSheetId="2">'приложение 2'!$A$1:$AF$31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D33" authorId="0">
      <text>
        <r>
          <rPr>
            <sz val="9"/>
            <rFont val="Arial"/>
            <family val="2"/>
          </rPr>
          <t xml:space="preserve">Вписываете год, в который планируете начать проект
</t>
        </r>
      </text>
    </comment>
    <comment ref="D35" authorId="0">
      <text>
        <r>
          <rPr>
            <sz val="9"/>
            <rFont val="Arial"/>
            <family val="2"/>
          </rPr>
          <t xml:space="preserve">Вписываете номер шага (квартала). Например, "1" соответствует первому кварталу года, в который планируете начать проект, а "4" - 1 кварталу года, следующего за тем, в котором планируется начать проект
</t>
        </r>
      </text>
    </comment>
    <comment ref="D38" authorId="0">
      <text>
        <r>
          <rPr>
            <sz val="9"/>
            <rFont val="Tahoma"/>
            <family val="2"/>
          </rPr>
          <t>Вписываете номер шага (квартала). Например, "2" соответствует второму кварталу года, в который планируете начать проект, а "4" - первому кварталу года, следующего за тем, в котором планируется начать проект</t>
        </r>
      </text>
    </comment>
    <comment ref="E80" authorId="0">
      <text>
        <r>
          <rPr>
            <sz val="9"/>
            <rFont val="Arial"/>
            <family val="2"/>
          </rPr>
          <t xml:space="preserve">Кд - поправочный коэффициент к стоимости доставки оборудовани. 
Ориентировочно Кд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- 1,1;
3. Центральная группа (Хангаласский, Намский, Горный муниципальные районы) - 1,3;
4. Арктическая группа (Абыйский, Аллаиховский, Анабарский, Булунский, Нижнеколымский, Оленекский муниципальные районы) - 1,4 </t>
        </r>
        <r>
          <rPr>
            <sz val="9"/>
            <rFont val="Tahoma"/>
            <family val="2"/>
          </rPr>
          <t xml:space="preserve">
Примечание: Вы можете указать точную стоимость доставки, тогда Кд следует принять равным 1.</t>
        </r>
      </text>
    </comment>
    <comment ref="D162" authorId="0">
      <text>
        <r>
          <rPr>
            <sz val="9"/>
            <rFont val="Tahoma"/>
            <family val="2"/>
          </rPr>
          <t>Нормы по видам тепловой энергии (ориентировочно) на кв. м площади:
1) центральное отопление - 0,5616 Гкал
2) электрические котлы - 671 кВт*ч
3) газовые котлы - 60 куб. м
4) уголь - 110 кг</t>
        </r>
      </text>
    </comment>
    <comment ref="E162" authorId="0">
      <text>
        <r>
          <rPr>
            <sz val="9"/>
            <rFont val="Arial"/>
            <family val="2"/>
          </rPr>
          <t>Коэффициент К1 - это поправка за климатическую зону.
К1 равен:
1. Западная группа (Ленский, Мирнинский, Олекминский муниципальные районы) - 1;
2. Вилюйская группа (Вилюйский, Верхневилюйский, Нюрбинский, Сунтарский муниципальные районы) - 1,01;
3. Центральная группа (Хангаласский, Намский, Горный муниципальные районы) - 1,04;
4. Арктическая группа (Абыйский, Аллаиховский, Анабарский, Булунский, Нижнеколымский, Оленекский муниципальные районы) - 1,19</t>
        </r>
      </text>
    </comment>
    <comment ref="B210" authorId="0">
      <text>
        <r>
          <rPr>
            <sz val="9"/>
            <rFont val="Times New Roman"/>
            <family val="1"/>
          </rPr>
          <t>Рассчитать сумму налоговых отчислений можно на сайте ФНС России. Режим доступа: https://patent.nalog.ru/info/#</t>
        </r>
      </text>
    </comment>
    <comment ref="B207" authorId="0">
      <text>
        <r>
          <rPr>
            <sz val="9"/>
            <rFont val="Times New Roman"/>
            <family val="1"/>
          </rPr>
          <t>Рассчитывается в размере 6% от суммы плановой выручки, то есть:
Выручка (табл. 4-3) х 0,06</t>
        </r>
      </text>
    </comment>
    <comment ref="B208" authorId="0">
      <text>
        <r>
          <rPr>
            <sz val="9"/>
            <rFont val="Times New Roman"/>
            <family val="1"/>
          </rPr>
          <t>Рассчитывается в размере 10% от суммы плановой выручки за минусом плановых расходов, то есть:
Выручка (табл. 4-3) минус Расходы (табл. 4-12) х 0,10</t>
        </r>
      </text>
    </comment>
    <comment ref="B209" authorId="0">
      <text>
        <r>
          <rPr>
            <sz val="9"/>
            <rFont val="Times New Roman"/>
            <family val="1"/>
          </rPr>
          <t>Рассчитать сумму налоговых отчислений можно на сайте ФНС России. Режим доступа:
https://www.nalog.ru/rn14/taxation/taxes/envd/</t>
        </r>
      </text>
    </comment>
    <comment ref="B234" authorId="0">
      <text>
        <r>
          <rPr>
            <sz val="9"/>
            <rFont val="Times New Roman"/>
            <family val="1"/>
          </rPr>
          <t>Некапитализируемые расходы - это расходы не вошедшие в другие группы расходов, но требуемые для начала реализации проекта (например, расходы на обучение персонала, расходы на маркетинг, авансовая оплата за аренду и др.).</t>
        </r>
      </text>
    </comment>
    <comment ref="H14" authorId="0">
      <text>
        <r>
          <rPr>
            <sz val="9"/>
            <rFont val="Tahoma"/>
            <family val="2"/>
          </rPr>
          <t>Ячейка с примечанием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<sst xmlns="http://schemas.openxmlformats.org/spreadsheetml/2006/main" count="474" uniqueCount="341">
  <si>
    <t>Индекс доходности инвестиций</t>
  </si>
  <si>
    <t>Внутренняя норма доходности</t>
  </si>
  <si>
    <t>Показатель</t>
  </si>
  <si>
    <t>Ед. изм.</t>
  </si>
  <si>
    <t>2 кв.</t>
  </si>
  <si>
    <t>Показатели</t>
  </si>
  <si>
    <t>всего</t>
  </si>
  <si>
    <t>по кварталам</t>
  </si>
  <si>
    <t>тыс. руб.</t>
  </si>
  <si>
    <t>в том числе:</t>
  </si>
  <si>
    <t>ВСЕГО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</si>
  <si>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</si>
  <si>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</si>
  <si>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</si>
  <si>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</si>
  <si>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</si>
  <si>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</si>
  <si>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</si>
  <si>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</si>
  <si>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</si>
  <si>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</si>
  <si>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</si>
  <si>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</si>
  <si>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</si>
  <si>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</si>
  <si>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1 кв</t>
  </si>
  <si>
    <t>3 кв</t>
  </si>
  <si>
    <t>4 кв</t>
  </si>
  <si>
    <t>Выплаты всего</t>
  </si>
  <si>
    <t>Возврат основного долга</t>
  </si>
  <si>
    <t>-</t>
  </si>
  <si>
    <t>Амортизация</t>
  </si>
  <si>
    <t>на уплату процентов по займу в инвест.период</t>
  </si>
  <si>
    <t>%</t>
  </si>
  <si>
    <t>лет</t>
  </si>
  <si>
    <t>х</t>
  </si>
  <si>
    <t>4 кв.</t>
  </si>
  <si>
    <t>1 кв.</t>
  </si>
  <si>
    <t>3 кв.</t>
  </si>
  <si>
    <t xml:space="preserve">Проценты на привлеченные долговые обязательства </t>
  </si>
  <si>
    <t xml:space="preserve">Прибыль до налогообложения </t>
  </si>
  <si>
    <t xml:space="preserve">Чистая прибыль - NP </t>
  </si>
  <si>
    <t xml:space="preserve">Поток от операционной деятельности </t>
  </si>
  <si>
    <t>Привлечение заемных средств</t>
  </si>
  <si>
    <t>Поток от инвестиционной деятельности</t>
  </si>
  <si>
    <t xml:space="preserve">Собственный капитал </t>
  </si>
  <si>
    <t>Расходы по выплате процентов</t>
  </si>
  <si>
    <t xml:space="preserve">Расходы по погашению долговых обязательств </t>
  </si>
  <si>
    <t xml:space="preserve">Поток от финансовой деятельности </t>
  </si>
  <si>
    <t>Кэш-фло на начало периода</t>
  </si>
  <si>
    <t>Кэш-фло на конец периода</t>
  </si>
  <si>
    <t xml:space="preserve">Чистые денежные потоки от всех видов деятельности </t>
  </si>
  <si>
    <t>Данные  для текстовой части бизнес-плана</t>
  </si>
  <si>
    <t>ПРАВИЛА ЗАПОЛНЕНИЯ ТАБЛИЦ</t>
  </si>
  <si>
    <t>2. Комментарии к заполнению находятся в примечаниях к ячейкам</t>
  </si>
  <si>
    <t>Для того, чтобы увидеть примечание, надо встать на ячейку с красным треугольником в углу</t>
  </si>
  <si>
    <t>Год начала проекта</t>
  </si>
  <si>
    <t>(вписываете год)</t>
  </si>
  <si>
    <t>Шаг начала проекта</t>
  </si>
  <si>
    <t>УСЛОВИЯ И ДОПУЩЕНИЯ, ПРИНЯТЫЕ В РАСЧЕТАХ</t>
  </si>
  <si>
    <t>квартал</t>
  </si>
  <si>
    <t>Период расчетов</t>
  </si>
  <si>
    <t>5 лет</t>
  </si>
  <si>
    <t>Шаг расчетов</t>
  </si>
  <si>
    <t>Количество шагов</t>
  </si>
  <si>
    <t>Шаг начала эксплуатационной стадии</t>
  </si>
  <si>
    <t>(вписывает квартал, в котором планируется финансирование проекта)</t>
  </si>
  <si>
    <t>(вписывает квартал, в котором планируете начать производство и реализацию)</t>
  </si>
  <si>
    <t>ВРЕМЕННЫЕ ПРЕДПОСЫЛКИ</t>
  </si>
  <si>
    <t>КАДРОВОЕ ОБЕСПЕЧЕНИЕ ПРОЕКТА</t>
  </si>
  <si>
    <t>Должность</t>
  </si>
  <si>
    <t>Итого</t>
  </si>
  <si>
    <t>1. Не заполняются только ячейки, выделенные зеленым цветом</t>
  </si>
  <si>
    <t>Заполните таблицу:</t>
  </si>
  <si>
    <t>Вы можете менять значения в любых ячейках, которые не выделены цветом</t>
  </si>
  <si>
    <t>Цена, руб. за ед.</t>
  </si>
  <si>
    <t>Доставка оборудования:</t>
  </si>
  <si>
    <t>Поправочный коэффициент по доставке (Кд):</t>
  </si>
  <si>
    <t>Сумма, тыс. руб.</t>
  </si>
  <si>
    <t>Доставка оборудования с учетом Кд:</t>
  </si>
  <si>
    <t>ПРОИЗВОДСТВЕННЫЕ ПОКАЗАТЕЛИ</t>
  </si>
  <si>
    <t>Количество рабочих дней в периоде</t>
  </si>
  <si>
    <t>Выручка, тыс. руб.</t>
  </si>
  <si>
    <t>ТЕКУЩИЕ РАСХОДЫ</t>
  </si>
  <si>
    <t>Значение показателя</t>
  </si>
  <si>
    <t>Входные данные (условия и допущения)</t>
  </si>
  <si>
    <t>Численность рабочих, чел.</t>
  </si>
  <si>
    <t>Тариф на воду, руб. за куб. м</t>
  </si>
  <si>
    <t>Тариф на сток воды, руб. за куб. м</t>
  </si>
  <si>
    <t>Вид работ</t>
  </si>
  <si>
    <t>Норма потребления, куб. м</t>
  </si>
  <si>
    <t>Расход в год, куб. м</t>
  </si>
  <si>
    <t>Расходы в год, тыс. руб.</t>
  </si>
  <si>
    <t>вода</t>
  </si>
  <si>
    <t>сточные воды</t>
  </si>
  <si>
    <t xml:space="preserve">сточные воды </t>
  </si>
  <si>
    <t>Нужды персонала</t>
  </si>
  <si>
    <t>0,0025 в дн.</t>
  </si>
  <si>
    <t>Система отопления (вид ресурса)</t>
  </si>
  <si>
    <t>Тепловая нагрузка, ед. на кв. м в год</t>
  </si>
  <si>
    <t>Коэф-фициент К1</t>
  </si>
  <si>
    <t>Площадь, кв. м</t>
  </si>
  <si>
    <t>Объем потреб-ления, ед. в год</t>
  </si>
  <si>
    <t>Тариф, руб. за ед.</t>
  </si>
  <si>
    <t>* К1 – поправочный коэффициент за климатическую зону</t>
  </si>
  <si>
    <t>Статья расходов</t>
  </si>
  <si>
    <t>Тариф, руб. за кв. м</t>
  </si>
  <si>
    <t>Актив</t>
  </si>
  <si>
    <t>Срок службы, лет</t>
  </si>
  <si>
    <t>Норма амортизации</t>
  </si>
  <si>
    <t>Балансовая стоимость, тыс. руб.</t>
  </si>
  <si>
    <t>Амортизация в год, тыс. руб.</t>
  </si>
  <si>
    <t>Здание</t>
  </si>
  <si>
    <t>Оборудование</t>
  </si>
  <si>
    <t>Сумма расходов в год, тыс. руб.</t>
  </si>
  <si>
    <t>Расходы на маркетинг (контентная реклама, печатная продукция)</t>
  </si>
  <si>
    <t>Структура</t>
  </si>
  <si>
    <t>Расходы на ФОТ</t>
  </si>
  <si>
    <t>Расходы на электроэнергию</t>
  </si>
  <si>
    <t>Расходы на воду</t>
  </si>
  <si>
    <t>Расходы на отопление</t>
  </si>
  <si>
    <t>Расходы на аренду</t>
  </si>
  <si>
    <t>Прочие расходы</t>
  </si>
  <si>
    <t>НАЛОГИ</t>
  </si>
  <si>
    <t>Патент</t>
  </si>
  <si>
    <t>УСН (доходы)</t>
  </si>
  <si>
    <t>ЕНВД</t>
  </si>
  <si>
    <t>УСН (расходы)</t>
  </si>
  <si>
    <t>Структура, в процентах к итогу</t>
  </si>
  <si>
    <t>Нематериальные активы</t>
  </si>
  <si>
    <t>Основные фонды</t>
  </si>
  <si>
    <t>Источник финансирования</t>
  </si>
  <si>
    <t>Заемное финансирование в Фонде РП РС(Я)</t>
  </si>
  <si>
    <t>Банковское (или иное) кредитование</t>
  </si>
  <si>
    <t>Собственные средства</t>
  </si>
  <si>
    <t>ИСТОЧНИКИ ФИНАНСИРОВАНИЯ И ИНВЕСТИЦИИ В ПРОЕКТ</t>
  </si>
  <si>
    <t>Остаточная стоимость</t>
  </si>
  <si>
    <t>Срок, лет</t>
  </si>
  <si>
    <t>Условия привлечения средств:</t>
  </si>
  <si>
    <t>Отсрочка по выплате долга, мес.</t>
  </si>
  <si>
    <t>Источники собственного капитала</t>
  </si>
  <si>
    <t>Иное: гранты и т.п. (указать)</t>
  </si>
  <si>
    <t>Приложение 1</t>
  </si>
  <si>
    <t xml:space="preserve">3. Просмотрите лист до конца, чтобы заполнить все таблицы </t>
  </si>
  <si>
    <t>НАЗВАНИЕ ПРОЕКТА:</t>
  </si>
  <si>
    <t>ПЛАН ПО ПРИБЫЛИ, тыс. руб.</t>
  </si>
  <si>
    <t xml:space="preserve">Выручка </t>
  </si>
  <si>
    <t>2 год</t>
  </si>
  <si>
    <t>3 год</t>
  </si>
  <si>
    <t>4 год</t>
  </si>
  <si>
    <t>5 год</t>
  </si>
  <si>
    <t>Переменные расходы</t>
  </si>
  <si>
    <t>Валовая прибыль</t>
  </si>
  <si>
    <t>Постоянные расходы</t>
  </si>
  <si>
    <t>Оплата процентов</t>
  </si>
  <si>
    <t>2 кв</t>
  </si>
  <si>
    <t>Количество дней в периоде</t>
  </si>
  <si>
    <t>Оплата процентов всего</t>
  </si>
  <si>
    <t>Возврат основного долга всего</t>
  </si>
  <si>
    <t>Операционная прибыль</t>
  </si>
  <si>
    <t>Налоги в составе себестоимости: ЕНВД, патент</t>
  </si>
  <si>
    <t>Индекс-дефлятор</t>
  </si>
  <si>
    <t>Индекс потребительских цен на товары и услуги</t>
  </si>
  <si>
    <t>Индекс-дефлятор: реальная заработная плата</t>
  </si>
  <si>
    <t>Индекс-дефлятор: газ, вода, электроэнергия</t>
  </si>
  <si>
    <t xml:space="preserve">Налог по УСН </t>
  </si>
  <si>
    <t xml:space="preserve">база: доходы </t>
  </si>
  <si>
    <t>база: доходы минус расходы</t>
  </si>
  <si>
    <t>Приложение 2</t>
  </si>
  <si>
    <t>ПЛАН ДВИЖЕНИЯ ДЕНЕГ, тыс. руб.</t>
  </si>
  <si>
    <t>ОПЕРАЦИОННАЯ ДЕЯТЕЛЬНОСТЬ</t>
  </si>
  <si>
    <t>Текущие расходы проекта</t>
  </si>
  <si>
    <t>Налоги</t>
  </si>
  <si>
    <t>в том числе: амортизация</t>
  </si>
  <si>
    <t>Инвестиции в проект</t>
  </si>
  <si>
    <t>на финансирование проекта</t>
  </si>
  <si>
    <t>ИНВЕСТИЦИАОННАЯ ДЕЯТЕЛЬНОСТЬ</t>
  </si>
  <si>
    <t>ФИНАНСОВАЯ ДЕЯТЕЛЬНОСТЬ</t>
  </si>
  <si>
    <t>ЭКОНОМИЧЕСКАЯ ОЦЕНКА</t>
  </si>
  <si>
    <t>(заполните условия привлечения средств)</t>
  </si>
  <si>
    <t>Частично заполните таблицы:</t>
  </si>
  <si>
    <t>Частично или полностью заполните таблицы:</t>
  </si>
  <si>
    <t>Частично заполните таблицу:</t>
  </si>
  <si>
    <t>1.</t>
  </si>
  <si>
    <t>2.</t>
  </si>
  <si>
    <t>Точка безубыточности (критический объем выручки)</t>
  </si>
  <si>
    <t>Запас финансовой прочности</t>
  </si>
  <si>
    <t>Запас финансовой прочности, в процентах</t>
  </si>
  <si>
    <t>Чистый денежный доход (NPV)</t>
  </si>
  <si>
    <t>Значение</t>
  </si>
  <si>
    <t>Валюта расчета</t>
  </si>
  <si>
    <t>(все таблицы заполняются в тыс. руб., если не указано иное)</t>
  </si>
  <si>
    <t>Критерий приемлемости</t>
  </si>
  <si>
    <t>&gt;0</t>
  </si>
  <si>
    <t>&gt;1</t>
  </si>
  <si>
    <t>&gt; ставки по кредиту</t>
  </si>
  <si>
    <t>мес</t>
  </si>
  <si>
    <t>&lt; срока проекта</t>
  </si>
  <si>
    <t>Дисконтированный денежный поток</t>
  </si>
  <si>
    <t>Накопленное сальдо</t>
  </si>
  <si>
    <t>Период окупаемости (от начала эксплуатации проекта)</t>
  </si>
  <si>
    <t>Не запоняйте таблицы (заполняются автоматически)</t>
  </si>
  <si>
    <t>Сценарий прогноза</t>
  </si>
  <si>
    <t>(в текущих ценах (ставите 1) или в прогнозных ценах (ставите 2)</t>
  </si>
  <si>
    <t>Индекс-дефлятор, принятый в расчетах</t>
  </si>
  <si>
    <t>4.</t>
  </si>
  <si>
    <t>5.</t>
  </si>
  <si>
    <t>6.</t>
  </si>
  <si>
    <t>7.</t>
  </si>
  <si>
    <t>8.</t>
  </si>
  <si>
    <t>Кэш-фло на конец периода не должно быть &lt;0</t>
  </si>
  <si>
    <t>Общехозяйственные и прочие непредвиденные (0,5% от выручки)</t>
  </si>
  <si>
    <t>11.</t>
  </si>
  <si>
    <t>13.</t>
  </si>
  <si>
    <t>14.</t>
  </si>
  <si>
    <t>15.</t>
  </si>
  <si>
    <t>16.</t>
  </si>
  <si>
    <t>17.</t>
  </si>
  <si>
    <t>18.</t>
  </si>
  <si>
    <t>19.</t>
  </si>
  <si>
    <t>3-1. Штатное расписание персонала проекта</t>
  </si>
  <si>
    <t>Количество</t>
  </si>
  <si>
    <t>Техника и мебель</t>
  </si>
  <si>
    <t>Платежный терминал для банковских карт</t>
  </si>
  <si>
    <t>Ноутбук</t>
  </si>
  <si>
    <t>Принтер</t>
  </si>
  <si>
    <t>Всего:</t>
  </si>
  <si>
    <t>Наименование</t>
  </si>
  <si>
    <t>На данном листе находятся таблицы, которые после заполнения вы вставите в описательную часть бизнес-плана</t>
  </si>
  <si>
    <t>Первая цифра номера таблицы означает номер раздела в бизнес-плане</t>
  </si>
  <si>
    <t>Заполните ячейки:</t>
  </si>
  <si>
    <t>ЗДАНИЕ И ТЕХНОЛОГИЧЕСКОЕ ОБОРУДОВАНИЕ ПРОЕКТА</t>
  </si>
  <si>
    <t>3.</t>
  </si>
  <si>
    <t>Спецодежда</t>
  </si>
  <si>
    <t>Нематериальные активы (ПО)</t>
  </si>
  <si>
    <t>Вид налогообложения</t>
  </si>
  <si>
    <t>Некапитализуемые расходы</t>
  </si>
  <si>
    <t>4-2. Плановые темпы роста объемов оказания услуг</t>
  </si>
  <si>
    <t>4-3. Годовой производственный план</t>
  </si>
  <si>
    <t>ФОТ в год, тыс. руб.</t>
  </si>
  <si>
    <t xml:space="preserve">Среднегодовой оборот </t>
  </si>
  <si>
    <t>4-7. Расчет расходов на потребление воды и сточные воды</t>
  </si>
  <si>
    <t xml:space="preserve">Расход воды на работу </t>
  </si>
  <si>
    <t>9.</t>
  </si>
  <si>
    <t>в процентах</t>
  </si>
  <si>
    <t>Бизнес-план организации заготовки и переработки делового леса в п. ХХХ ХХХ района Республики Саха (Якутия)</t>
  </si>
  <si>
    <t>Оплата труда</t>
  </si>
  <si>
    <t>руб./ед.</t>
  </si>
  <si>
    <t>ФОТ, руб./мес.</t>
  </si>
  <si>
    <t>АУП</t>
  </si>
  <si>
    <t>Директор</t>
  </si>
  <si>
    <t>Рабочие основного производства</t>
  </si>
  <si>
    <t>Рабочие лесосеки</t>
  </si>
  <si>
    <t>Водитель (лесосека)</t>
  </si>
  <si>
    <t>Рабочие  пилорамы</t>
  </si>
  <si>
    <t>Водитель погрузчика</t>
  </si>
  <si>
    <t>ФОТ с отчислениями, руб./мес.</t>
  </si>
  <si>
    <t>Характер привлечения</t>
  </si>
  <si>
    <t>Постоянные</t>
  </si>
  <si>
    <t>Сезонные</t>
  </si>
  <si>
    <t>Бухгалтер (аутсорсинг)</t>
  </si>
  <si>
    <t>Оборудование для валки леса</t>
  </si>
  <si>
    <t>Бензомоторная пила с двигателем</t>
  </si>
  <si>
    <t>Трелевочный трактор (ТДТ-55А)</t>
  </si>
  <si>
    <t xml:space="preserve">Фронтальный погрузчик </t>
  </si>
  <si>
    <t>Грузовой автомобиль марки УРАЛ (самосвал)</t>
  </si>
  <si>
    <t>Генератор дизельный</t>
  </si>
  <si>
    <t>Оборудование для переработки древесины</t>
  </si>
  <si>
    <t>Пилорама рамная</t>
  </si>
  <si>
    <t>Набор мебели для руководителя</t>
  </si>
  <si>
    <t>Лесозаготовка</t>
  </si>
  <si>
    <t>Эффективный фонд рабочего времени</t>
  </si>
  <si>
    <t>Структура заготовки, в процентах к итогу</t>
  </si>
  <si>
    <t>Объем лезозаготовки, куб. м</t>
  </si>
  <si>
    <t>Производство пиломатериалов</t>
  </si>
  <si>
    <t>Полезный выход пиломатериалов</t>
  </si>
  <si>
    <t>Отходы (дрова на продажу)</t>
  </si>
  <si>
    <t>Цена на пиломатериалы, руб. за куб. м</t>
  </si>
  <si>
    <t>Цена на дрова, руб. за куб. м</t>
  </si>
  <si>
    <t>Машины и механизмы</t>
  </si>
  <si>
    <t>Дизельное топливо</t>
  </si>
  <si>
    <t>Бензин</t>
  </si>
  <si>
    <t>Масло</t>
  </si>
  <si>
    <t>Расход ТСМ, л. на куб. м.</t>
  </si>
  <si>
    <t>Тариф, руб. за л.</t>
  </si>
  <si>
    <t>Расход ТСМ, руб. на куб. м</t>
  </si>
  <si>
    <t>Транспортировка леса (самосвал)</t>
  </si>
  <si>
    <t>Расход, л. на куб. м.</t>
  </si>
  <si>
    <t>Расходы всего, тыс. руб. на куб. м.</t>
  </si>
  <si>
    <t>Лесосечные работы (бензопила, трелевочный трактор, самосвал)</t>
  </si>
  <si>
    <t>Погрузочно-разгрузочные работы</t>
  </si>
  <si>
    <t xml:space="preserve">Расходы всего, тыс. руб. </t>
  </si>
  <si>
    <t>Расходы на ГСМ</t>
  </si>
  <si>
    <t>4-4. Расчет расходов на топливно-смазочные материалы</t>
  </si>
  <si>
    <t>Постонные</t>
  </si>
  <si>
    <t>Сезонные рабочие</t>
  </si>
  <si>
    <t>Постоянный персонал</t>
  </si>
  <si>
    <t>Годовой объем переработки, куб. м.</t>
  </si>
  <si>
    <t>Энергопотребление, кВт в час</t>
  </si>
  <si>
    <t>Кол-во часов работы в день</t>
  </si>
  <si>
    <t>Кол-во дней работы оборудования в год</t>
  </si>
  <si>
    <t>Энергопотребление, кВт в год</t>
  </si>
  <si>
    <t>Потребление ресурсов кВт на куб. м</t>
  </si>
  <si>
    <t>Тариф на электроэнергию</t>
  </si>
  <si>
    <t>Расход электроэнергии, руб. на куб. м</t>
  </si>
  <si>
    <t xml:space="preserve">Расходы на электроэнергию, тыс. руб. </t>
  </si>
  <si>
    <t>Аренда производственного здания</t>
  </si>
  <si>
    <t>Центральное отопление</t>
  </si>
  <si>
    <t>Гкал</t>
  </si>
  <si>
    <t>Комплект спецодежды</t>
  </si>
  <si>
    <t>Расходы на приобретение деляны</t>
  </si>
  <si>
    <t>Расходы на обслуживание техники</t>
  </si>
  <si>
    <t>Удельные расходы, руб. на чел. в сутки</t>
  </si>
  <si>
    <t>Расходы всего, тыс. руб.</t>
  </si>
  <si>
    <t>Расходы на питание</t>
  </si>
  <si>
    <t>Прибыль</t>
  </si>
  <si>
    <t>Рент</t>
  </si>
  <si>
    <t>Расходы на ФОТ (сезонные)</t>
  </si>
  <si>
    <t>Расходы на ФОТ (постоянные)</t>
  </si>
  <si>
    <t>Процентная ставка (средневзвешенная), %</t>
  </si>
  <si>
    <t>10.</t>
  </si>
  <si>
    <t>12.</t>
  </si>
  <si>
    <t>4-8. Расчет расходов на потребляемую электроэнергию</t>
  </si>
  <si>
    <t>Оборотные активы (спецодежда, расходы на питание и ГСМ)</t>
  </si>
  <si>
    <t>5-1. Источники финансирования проекта</t>
  </si>
  <si>
    <t>5-2. Инвестиции в проект</t>
  </si>
  <si>
    <t>5-3. График гашения и обслуживания долговых обязательств</t>
  </si>
  <si>
    <t>Источники долгового финансирования</t>
  </si>
  <si>
    <t>Лизинг в Региональной лизинговой компанииРС(Я)</t>
  </si>
  <si>
    <t>4-1. Перечень основных фондов и оборотных активов проекта</t>
  </si>
  <si>
    <t>4-5. Расчет расходов на питание сезонных рабочих</t>
  </si>
  <si>
    <t xml:space="preserve">4-6. Расчет расходов на фонд оплаты труда </t>
  </si>
  <si>
    <t>4-8. Расчет расходов на тепловую энергию</t>
  </si>
  <si>
    <t>4-9. Расчет расходов на аренду</t>
  </si>
  <si>
    <t>4-10. Расчет амортизационных отчислений</t>
  </si>
  <si>
    <t>4-11. Расчет прочих расходов</t>
  </si>
  <si>
    <t>4-12. Структура себестоимости</t>
  </si>
  <si>
    <t>Годовая сумма налоговых отчислений</t>
  </si>
  <si>
    <t>5-4. Расчет точки безубыточности</t>
  </si>
  <si>
    <t>5-5. Расчет показателей эффективности проекта</t>
  </si>
  <si>
    <t>Всего 19 таблиц, находящихся на данном листе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</si>
</sst>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[Red]\-#,##0\ "/>
    <numFmt numFmtId="174" formatCode="#,##0.0_ ;[Red]\-#,##0.0\ "/>
    <numFmt numFmtId="175" formatCode="0.0000"/>
    <numFmt numFmtId="176" formatCode="#,##0.00_ ;[Red]\-#,##0.00\ "/>
    <numFmt numFmtId="177" formatCode="#,##0.0"/>
    <numFmt numFmtId="178" formatCode="#,##0.000"/>
    <numFmt numFmtId="179" formatCode="#,##0.000_ ;[Red]\-#,##0.000\ "/>
    <numFmt numFmtId="180" formatCode="0.000"/>
    <numFmt numFmtId="181" formatCode="_-* #,##0.0_р_._-;\-* #,##0.0_р_._-;_-* &quot;-&quot;??_р_._-;_-@_-"/>
    <numFmt numFmtId="182" formatCode="_-* #,##0_р_._-;\-* #,##0_р_._-;_-* &quot;-&quot;??_р_._-;_-@_-"/>
    <numFmt numFmtId="183" formatCode="#,##0.00000"/>
    <numFmt numFmtId="184" formatCode="_-* #,##0.000_р_._-;\-* #,##0.000_р_._-;_-* &quot;-&quot;??_р_._-;_-@_-"/>
    <numFmt numFmtId="185" formatCode="_-* #,##0.000\ _р_._-;\-* #,##0.000\ _р_._-;_-* &quot;-&quot;???\ _р_._-;_-@_-"/>
    <numFmt numFmtId="186" formatCode="#\ ##0.0_ ;[Red]\-#\ 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_р_._-;\-* #,##0.000_р_._-;_-* &quot;-&quot;???_р_._-;_-@_-"/>
    <numFmt numFmtId="192" formatCode="_-* #,##0.0_р_._-;\-* #,##0.0_р_._-;_-* &quot;-&quot;?_р_._-;_-@_-"/>
    <numFmt numFmtId="193" formatCode="0.0%"/>
    <numFmt numFmtId="194" formatCode="0.0000%"/>
    <numFmt numFmtId="195" formatCode="_-* #,##0.0\ _₽_-;\-* #,##0.0\ _₽_-;_-* &quot;-&quot;?\ _₽_-;_-@_-"/>
    <numFmt numFmtId="196" formatCode="#,##0.0000_ ;[Red]\-#,##0.0000\ "/>
    <numFmt numFmtId="197" formatCode="#,##0.00000_ ;[Red]\-#,##0.00000\ "/>
    <numFmt numFmtId="198" formatCode="0.00000000"/>
    <numFmt numFmtId="199" formatCode="0.0000000"/>
    <numFmt numFmtId="200" formatCode="0.000000"/>
    <numFmt numFmtId="201" formatCode="0.00000"/>
    <numFmt numFmtId="202" formatCode="0.000000000"/>
    <numFmt numFmtId="203" formatCode="_-* #,##0.000\ _₽_-;\-* #,##0.000\ _₽_-;_-* &quot;-&quot;???\ _₽_-;_-@_-"/>
    <numFmt numFmtId="204" formatCode="#,##0.0000"/>
    <numFmt numFmtId="205" formatCode="#,##0;[Red]\(#,##0\);\-"/>
    <numFmt numFmtId="206" formatCode="_-* #,##0.0\ &quot;₽&quot;_-;\-* #,##0.0\ &quot;₽&quot;_-;_-* &quot;-&quot;?\ &quot;₽&quot;_-;_-@_-"/>
    <numFmt numFmtId="207" formatCode="#,##0.0_ ;\-#,##0.0\ "/>
  </numFmts>
  <fonts count="109">
    <font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1"/>
      <name val="MS Sans Serif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6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MS Sans Serif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5" tint="-0.4999699890613556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sz val="11"/>
      <color theme="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F932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205" fontId="68" fillId="19" borderId="0" applyNumberFormat="0" applyBorder="0" applyAlignment="0"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0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56" applyNumberFormat="1" applyFont="1" applyBorder="1" applyAlignment="1">
      <alignment vertical="top" wrapText="1"/>
      <protection/>
    </xf>
    <xf numFmtId="3" fontId="1" fillId="0" borderId="10" xfId="56" applyNumberFormat="1" applyFont="1" applyFill="1" applyBorder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5" fillId="0" borderId="0" xfId="56" applyNumberFormat="1" applyFont="1" applyAlignment="1">
      <alignment vertical="top" wrapText="1"/>
      <protection/>
    </xf>
    <xf numFmtId="3" fontId="1" fillId="0" borderId="10" xfId="56" applyNumberFormat="1" applyFont="1" applyBorder="1" applyAlignment="1">
      <alignment vertical="top" wrapText="1"/>
      <protection/>
    </xf>
    <xf numFmtId="171" fontId="0" fillId="0" borderId="0" xfId="65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3" fontId="1" fillId="0" borderId="10" xfId="56" applyNumberFormat="1" applyFont="1" applyFill="1" applyBorder="1" applyAlignment="1">
      <alignment vertical="top" wrapText="1"/>
      <protection/>
    </xf>
    <xf numFmtId="3" fontId="1" fillId="0" borderId="0" xfId="56" applyNumberFormat="1" applyFont="1">
      <alignment/>
      <protection/>
    </xf>
    <xf numFmtId="3" fontId="1" fillId="0" borderId="0" xfId="56" applyNumberFormat="1" applyFont="1" applyAlignment="1">
      <alignment vertical="top" wrapText="1"/>
      <protection/>
    </xf>
    <xf numFmtId="172" fontId="1" fillId="0" borderId="0" xfId="0" applyNumberFormat="1" applyFont="1" applyAlignment="1">
      <alignment/>
    </xf>
    <xf numFmtId="3" fontId="9" fillId="0" borderId="10" xfId="56" applyNumberFormat="1" applyFont="1" applyFill="1" applyBorder="1" applyAlignment="1">
      <alignment vertical="top" wrapText="1"/>
      <protection/>
    </xf>
    <xf numFmtId="3" fontId="13" fillId="0" borderId="0" xfId="56" applyNumberFormat="1" applyFont="1" applyAlignment="1">
      <alignment vertical="top" wrapText="1"/>
      <protection/>
    </xf>
    <xf numFmtId="173" fontId="1" fillId="0" borderId="10" xfId="0" applyNumberFormat="1" applyFont="1" applyBorder="1" applyAlignment="1">
      <alignment vertical="top"/>
    </xf>
    <xf numFmtId="173" fontId="1" fillId="0" borderId="10" xfId="0" applyNumberFormat="1" applyFont="1" applyFill="1" applyBorder="1" applyAlignment="1">
      <alignment vertical="top" wrapText="1"/>
    </xf>
    <xf numFmtId="3" fontId="7" fillId="0" borderId="0" xfId="56" applyNumberFormat="1" applyFont="1">
      <alignment/>
      <protection/>
    </xf>
    <xf numFmtId="3" fontId="7" fillId="0" borderId="0" xfId="56" applyNumberFormat="1" applyFont="1" applyAlignment="1">
      <alignment wrapText="1"/>
      <protection/>
    </xf>
    <xf numFmtId="3" fontId="1" fillId="0" borderId="10" xfId="56" applyNumberFormat="1" applyFont="1" applyBorder="1" applyAlignment="1">
      <alignment horizontal="center"/>
      <protection/>
    </xf>
    <xf numFmtId="3" fontId="1" fillId="0" borderId="10" xfId="0" applyNumberFormat="1" applyFont="1" applyBorder="1" applyAlignment="1">
      <alignment horizontal="center" vertical="top"/>
    </xf>
    <xf numFmtId="3" fontId="5" fillId="0" borderId="0" xfId="56" applyNumberFormat="1" applyFont="1">
      <alignment/>
      <protection/>
    </xf>
    <xf numFmtId="3" fontId="5" fillId="0" borderId="0" xfId="56" applyNumberFormat="1" applyFont="1">
      <alignment/>
      <protection/>
    </xf>
    <xf numFmtId="3" fontId="1" fillId="0" borderId="10" xfId="0" applyNumberFormat="1" applyFont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5" fillId="0" borderId="0" xfId="56" applyNumberFormat="1" applyFont="1" applyFill="1" applyAlignment="1">
      <alignment vertical="top" wrapText="1"/>
      <protection/>
    </xf>
    <xf numFmtId="3" fontId="1" fillId="0" borderId="0" xfId="56" applyNumberFormat="1" applyFont="1" applyAlignment="1">
      <alignment wrapText="1"/>
      <protection/>
    </xf>
    <xf numFmtId="3" fontId="16" fillId="0" borderId="0" xfId="56" applyNumberFormat="1" applyFont="1" applyFill="1" applyAlignment="1">
      <alignment vertical="top" wrapText="1"/>
      <protection/>
    </xf>
    <xf numFmtId="3" fontId="84" fillId="0" borderId="0" xfId="56" applyNumberFormat="1" applyFont="1">
      <alignment/>
      <protection/>
    </xf>
    <xf numFmtId="3" fontId="85" fillId="0" borderId="0" xfId="56" applyNumberFormat="1" applyFont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6" fillId="33" borderId="0" xfId="0" applyNumberFormat="1" applyFont="1" applyFill="1" applyBorder="1" applyAlignment="1" applyProtection="1">
      <alignment vertical="top"/>
      <protection/>
    </xf>
    <xf numFmtId="0" fontId="86" fillId="34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1" fillId="35" borderId="0" xfId="0" applyNumberFormat="1" applyFont="1" applyFill="1" applyBorder="1" applyAlignment="1" applyProtection="1">
      <alignment vertical="top"/>
      <protection/>
    </xf>
    <xf numFmtId="0" fontId="19" fillId="35" borderId="0" xfId="0" applyNumberFormat="1" applyFont="1" applyFill="1" applyBorder="1" applyAlignment="1" applyProtection="1">
      <alignment vertical="top"/>
      <protection/>
    </xf>
    <xf numFmtId="0" fontId="17" fillId="35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1" fillId="34" borderId="0" xfId="0" applyNumberFormat="1" applyFont="1" applyFill="1" applyBorder="1" applyAlignment="1" applyProtection="1">
      <alignment vertical="top"/>
      <protection/>
    </xf>
    <xf numFmtId="0" fontId="87" fillId="35" borderId="0" xfId="0" applyNumberFormat="1" applyFont="1" applyFill="1" applyBorder="1" applyAlignment="1" applyProtection="1">
      <alignment vertical="top"/>
      <protection/>
    </xf>
    <xf numFmtId="0" fontId="88" fillId="35" borderId="0" xfId="0" applyNumberFormat="1" applyFont="1" applyFill="1" applyBorder="1" applyAlignment="1" applyProtection="1">
      <alignment vertical="top"/>
      <protection/>
    </xf>
    <xf numFmtId="0" fontId="20" fillId="35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0" fontId="89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36" borderId="10" xfId="0" applyNumberFormat="1" applyFont="1" applyFill="1" applyBorder="1" applyAlignment="1" applyProtection="1">
      <alignment horizontal="right"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vertical="center" wrapText="1"/>
      <protection/>
    </xf>
    <xf numFmtId="0" fontId="90" fillId="0" borderId="10" xfId="0" applyNumberFormat="1" applyFont="1" applyFill="1" applyBorder="1" applyAlignment="1" applyProtection="1">
      <alignment horizontal="center" vertical="center" wrapText="1"/>
      <protection/>
    </xf>
    <xf numFmtId="0" fontId="90" fillId="0" borderId="1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89" fillId="36" borderId="10" xfId="0" applyNumberFormat="1" applyFont="1" applyFill="1" applyBorder="1" applyAlignment="1" applyProtection="1">
      <alignment horizontal="center" vertical="center" wrapText="1"/>
      <protection/>
    </xf>
    <xf numFmtId="0" fontId="89" fillId="0" borderId="12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horizontal="justify" vertical="center" wrapText="1"/>
      <protection/>
    </xf>
    <xf numFmtId="0" fontId="89" fillId="0" borderId="0" xfId="0" applyNumberFormat="1" applyFont="1" applyFill="1" applyBorder="1" applyAlignment="1" applyProtection="1">
      <alignment horizontal="right" vertical="center" wrapText="1"/>
      <protection/>
    </xf>
    <xf numFmtId="3" fontId="89" fillId="0" borderId="10" xfId="0" applyNumberFormat="1" applyFont="1" applyFill="1" applyBorder="1" applyAlignment="1" applyProtection="1">
      <alignment horizontal="right" vertical="center" wrapText="1"/>
      <protection/>
    </xf>
    <xf numFmtId="3" fontId="89" fillId="36" borderId="10" xfId="0" applyNumberFormat="1" applyFont="1" applyFill="1" applyBorder="1" applyAlignment="1" applyProtection="1">
      <alignment horizontal="right" vertical="center" wrapText="1"/>
      <protection/>
    </xf>
    <xf numFmtId="177" fontId="89" fillId="36" borderId="10" xfId="0" applyNumberFormat="1" applyFont="1" applyFill="1" applyBorder="1" applyAlignment="1" applyProtection="1">
      <alignment horizontal="right" vertical="center" wrapText="1"/>
      <protection/>
    </xf>
    <xf numFmtId="43" fontId="11" fillId="0" borderId="0" xfId="0" applyNumberFormat="1" applyFont="1" applyFill="1" applyBorder="1" applyAlignment="1" applyProtection="1">
      <alignment vertical="top"/>
      <protection/>
    </xf>
    <xf numFmtId="182" fontId="89" fillId="36" borderId="10" xfId="65" applyNumberFormat="1" applyFont="1" applyFill="1" applyBorder="1" applyAlignment="1" applyProtection="1">
      <alignment horizontal="center" vertical="center" wrapText="1"/>
      <protection/>
    </xf>
    <xf numFmtId="3" fontId="89" fillId="36" borderId="10" xfId="0" applyNumberFormat="1" applyFont="1" applyFill="1" applyBorder="1" applyAlignment="1" applyProtection="1">
      <alignment horizontal="center" vertical="center" wrapText="1"/>
      <protection/>
    </xf>
    <xf numFmtId="1" fontId="89" fillId="36" borderId="10" xfId="0" applyNumberFormat="1" applyFont="1" applyFill="1" applyBorder="1" applyAlignment="1" applyProtection="1">
      <alignment horizontal="center" vertical="center" wrapText="1"/>
      <protection/>
    </xf>
    <xf numFmtId="2" fontId="89" fillId="36" borderId="10" xfId="0" applyNumberFormat="1" applyFont="1" applyFill="1" applyBorder="1" applyAlignment="1" applyProtection="1">
      <alignment horizontal="center" vertical="center" wrapText="1"/>
      <protection/>
    </xf>
    <xf numFmtId="172" fontId="89" fillId="0" borderId="0" xfId="0" applyNumberFormat="1" applyFont="1" applyFill="1" applyBorder="1" applyAlignment="1" applyProtection="1">
      <alignment horizontal="center" vertical="center" wrapText="1"/>
      <protection/>
    </xf>
    <xf numFmtId="0" fontId="90" fillId="0" borderId="10" xfId="0" applyNumberFormat="1" applyFont="1" applyFill="1" applyBorder="1" applyAlignment="1" applyProtection="1">
      <alignment horizontal="right" vertical="center" wrapText="1"/>
      <protection/>
    </xf>
    <xf numFmtId="0" fontId="90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36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9" fillId="36" borderId="10" xfId="0" applyNumberFormat="1" applyFont="1" applyFill="1" applyBorder="1" applyAlignment="1" applyProtection="1">
      <alignment horizontal="right" vertical="center" wrapText="1"/>
      <protection/>
    </xf>
    <xf numFmtId="3" fontId="9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89" fillId="0" borderId="10" xfId="0" applyNumberFormat="1" applyFont="1" applyFill="1" applyBorder="1" applyAlignment="1" applyProtection="1">
      <alignment vertical="top"/>
      <protection/>
    </xf>
    <xf numFmtId="0" fontId="91" fillId="0" borderId="10" xfId="0" applyNumberFormat="1" applyFont="1" applyFill="1" applyBorder="1" applyAlignment="1" applyProtection="1">
      <alignment vertical="center" wrapText="1"/>
      <protection/>
    </xf>
    <xf numFmtId="3" fontId="91" fillId="0" borderId="1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1" fontId="5" fillId="0" borderId="0" xfId="56" applyNumberFormat="1" applyFont="1">
      <alignment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92" fillId="33" borderId="0" xfId="0" applyNumberFormat="1" applyFont="1" applyFill="1" applyBorder="1" applyAlignment="1" applyProtection="1">
      <alignment vertical="top"/>
      <protection/>
    </xf>
    <xf numFmtId="0" fontId="86" fillId="34" borderId="13" xfId="0" applyNumberFormat="1" applyFont="1" applyFill="1" applyBorder="1" applyAlignment="1" applyProtection="1">
      <alignment vertical="top"/>
      <protection/>
    </xf>
    <xf numFmtId="0" fontId="86" fillId="34" borderId="14" xfId="0" applyNumberFormat="1" applyFont="1" applyFill="1" applyBorder="1" applyAlignment="1" applyProtection="1">
      <alignment vertical="top"/>
      <protection/>
    </xf>
    <xf numFmtId="0" fontId="11" fillId="34" borderId="15" xfId="0" applyNumberFormat="1" applyFont="1" applyFill="1" applyBorder="1" applyAlignment="1" applyProtection="1">
      <alignment vertical="top"/>
      <protection/>
    </xf>
    <xf numFmtId="0" fontId="11" fillId="0" borderId="16" xfId="0" applyNumberFormat="1" applyFont="1" applyFill="1" applyBorder="1" applyAlignment="1" applyProtection="1">
      <alignment vertical="top"/>
      <protection/>
    </xf>
    <xf numFmtId="0" fontId="11" fillId="0" borderId="17" xfId="0" applyNumberFormat="1" applyFont="1" applyFill="1" applyBorder="1" applyAlignment="1" applyProtection="1">
      <alignment vertical="top"/>
      <protection/>
    </xf>
    <xf numFmtId="0" fontId="17" fillId="0" borderId="16" xfId="0" applyNumberFormat="1" applyFont="1" applyFill="1" applyBorder="1" applyAlignment="1" applyProtection="1">
      <alignment vertical="top"/>
      <protection/>
    </xf>
    <xf numFmtId="0" fontId="17" fillId="0" borderId="17" xfId="0" applyNumberFormat="1" applyFont="1" applyFill="1" applyBorder="1" applyAlignment="1" applyProtection="1">
      <alignment vertical="top"/>
      <protection/>
    </xf>
    <xf numFmtId="0" fontId="17" fillId="0" borderId="18" xfId="0" applyNumberFormat="1" applyFont="1" applyFill="1" applyBorder="1" applyAlignment="1" applyProtection="1">
      <alignment vertical="top"/>
      <protection/>
    </xf>
    <xf numFmtId="0" fontId="11" fillId="0" borderId="19" xfId="0" applyNumberFormat="1" applyFont="1" applyFill="1" applyBorder="1" applyAlignment="1" applyProtection="1">
      <alignment vertical="top"/>
      <protection/>
    </xf>
    <xf numFmtId="0" fontId="11" fillId="0" borderId="20" xfId="0" applyNumberFormat="1" applyFont="1" applyFill="1" applyBorder="1" applyAlignment="1" applyProtection="1">
      <alignment vertical="top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2" fillId="0" borderId="18" xfId="0" applyNumberFormat="1" applyFont="1" applyFill="1" applyBorder="1" applyAlignment="1" applyProtection="1">
      <alignment vertical="center" wrapText="1"/>
      <protection/>
    </xf>
    <xf numFmtId="0" fontId="12" fillId="0" borderId="19" xfId="0" applyNumberFormat="1" applyFont="1" applyFill="1" applyBorder="1" applyAlignment="1" applyProtection="1">
      <alignment vertical="center" wrapText="1"/>
      <protection/>
    </xf>
    <xf numFmtId="0" fontId="93" fillId="0" borderId="0" xfId="0" applyNumberFormat="1" applyFont="1" applyFill="1" applyBorder="1" applyAlignment="1" applyProtection="1">
      <alignment vertical="top"/>
      <protection/>
    </xf>
    <xf numFmtId="0" fontId="94" fillId="37" borderId="0" xfId="0" applyNumberFormat="1" applyFont="1" applyFill="1" applyBorder="1" applyAlignment="1" applyProtection="1">
      <alignment vertical="top"/>
      <protection/>
    </xf>
    <xf numFmtId="0" fontId="23" fillId="37" borderId="0" xfId="0" applyNumberFormat="1" applyFont="1" applyFill="1" applyBorder="1" applyAlignment="1" applyProtection="1">
      <alignment vertical="top"/>
      <protection/>
    </xf>
    <xf numFmtId="0" fontId="87" fillId="38" borderId="0" xfId="0" applyNumberFormat="1" applyFont="1" applyFill="1" applyBorder="1" applyAlignment="1" applyProtection="1">
      <alignment vertical="top"/>
      <protection/>
    </xf>
    <xf numFmtId="0" fontId="95" fillId="38" borderId="0" xfId="0" applyFont="1" applyFill="1" applyAlignment="1">
      <alignment/>
    </xf>
    <xf numFmtId="0" fontId="95" fillId="38" borderId="0" xfId="0" applyFont="1" applyFill="1" applyAlignment="1">
      <alignment horizontal="right"/>
    </xf>
    <xf numFmtId="0" fontId="96" fillId="38" borderId="0" xfId="0" applyFont="1" applyFill="1" applyAlignment="1">
      <alignment/>
    </xf>
    <xf numFmtId="0" fontId="86" fillId="0" borderId="13" xfId="0" applyNumberFormat="1" applyFont="1" applyFill="1" applyBorder="1" applyAlignment="1" applyProtection="1">
      <alignment vertical="top"/>
      <protection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Fill="1" applyBorder="1" applyAlignment="1" applyProtection="1">
      <alignment horizontal="center" vertical="top"/>
      <protection/>
    </xf>
    <xf numFmtId="9" fontId="1" fillId="0" borderId="10" xfId="0" applyNumberFormat="1" applyFont="1" applyBorder="1" applyAlignment="1">
      <alignment horizontal="center" vertical="top"/>
    </xf>
    <xf numFmtId="0" fontId="97" fillId="0" borderId="10" xfId="0" applyFont="1" applyBorder="1" applyAlignment="1">
      <alignment horizontal="center" vertical="top"/>
    </xf>
    <xf numFmtId="9" fontId="97" fillId="0" borderId="10" xfId="0" applyNumberFormat="1" applyFont="1" applyBorder="1" applyAlignment="1">
      <alignment horizontal="center" vertical="top"/>
    </xf>
    <xf numFmtId="0" fontId="98" fillId="0" borderId="0" xfId="0" applyFont="1" applyAlignment="1">
      <alignment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1" fontId="11" fillId="36" borderId="10" xfId="0" applyNumberFormat="1" applyFont="1" applyFill="1" applyBorder="1" applyAlignment="1" applyProtection="1">
      <alignment vertical="top"/>
      <protection/>
    </xf>
    <xf numFmtId="1" fontId="1" fillId="36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" fontId="1" fillId="39" borderId="10" xfId="0" applyNumberFormat="1" applyFont="1" applyFill="1" applyBorder="1" applyAlignment="1" applyProtection="1">
      <alignment horizontal="center" vertical="top"/>
      <protection/>
    </xf>
    <xf numFmtId="3" fontId="1" fillId="36" borderId="1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Border="1" applyAlignment="1">
      <alignment vertical="top"/>
    </xf>
    <xf numFmtId="176" fontId="1" fillId="0" borderId="0" xfId="0" applyNumberFormat="1" applyFont="1" applyBorder="1" applyAlignment="1">
      <alignment vertical="top"/>
    </xf>
    <xf numFmtId="0" fontId="99" fillId="34" borderId="10" xfId="0" applyFont="1" applyFill="1" applyBorder="1" applyAlignment="1">
      <alignment vertical="top" wrapText="1"/>
    </xf>
    <xf numFmtId="173" fontId="99" fillId="34" borderId="10" xfId="0" applyNumberFormat="1" applyFont="1" applyFill="1" applyBorder="1" applyAlignment="1">
      <alignment vertical="top" wrapText="1"/>
    </xf>
    <xf numFmtId="0" fontId="24" fillId="40" borderId="0" xfId="0" applyFont="1" applyFill="1" applyAlignment="1">
      <alignment vertical="top" wrapText="1"/>
    </xf>
    <xf numFmtId="3" fontId="96" fillId="34" borderId="10" xfId="56" applyNumberFormat="1" applyFont="1" applyFill="1" applyBorder="1" applyAlignment="1">
      <alignment vertical="top"/>
      <protection/>
    </xf>
    <xf numFmtId="3" fontId="8" fillId="0" borderId="22" xfId="56" applyNumberFormat="1" applyFont="1" applyFill="1" applyBorder="1" applyAlignment="1">
      <alignment vertical="top" wrapText="1"/>
      <protection/>
    </xf>
    <xf numFmtId="0" fontId="10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0" fontId="101" fillId="0" borderId="0" xfId="0" applyNumberFormat="1" applyFont="1" applyFill="1" applyBorder="1" applyAlignment="1" applyProtection="1">
      <alignment vertical="top"/>
      <protection/>
    </xf>
    <xf numFmtId="2" fontId="101" fillId="0" borderId="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3" fontId="1" fillId="36" borderId="10" xfId="0" applyNumberFormat="1" applyFont="1" applyFill="1" applyBorder="1" applyAlignment="1" applyProtection="1">
      <alignment vertical="top" wrapText="1"/>
      <protection/>
    </xf>
    <xf numFmtId="1" fontId="1" fillId="36" borderId="10" xfId="0" applyNumberFormat="1" applyFont="1" applyFill="1" applyBorder="1" applyAlignment="1" applyProtection="1">
      <alignment vertical="top" wrapText="1"/>
      <protection/>
    </xf>
    <xf numFmtId="3" fontId="1" fillId="36" borderId="10" xfId="0" applyNumberFormat="1" applyFont="1" applyFill="1" applyBorder="1" applyAlignment="1" applyProtection="1">
      <alignment vertical="center" wrapText="1"/>
      <protection/>
    </xf>
    <xf numFmtId="172" fontId="1" fillId="36" borderId="10" xfId="0" applyNumberFormat="1" applyFont="1" applyFill="1" applyBorder="1" applyAlignment="1" applyProtection="1">
      <alignment vertical="center" wrapText="1"/>
      <protection/>
    </xf>
    <xf numFmtId="9" fontId="1" fillId="36" borderId="10" xfId="0" applyNumberFormat="1" applyFont="1" applyFill="1" applyBorder="1" applyAlignment="1" applyProtection="1">
      <alignment vertical="center" wrapText="1"/>
      <protection/>
    </xf>
    <xf numFmtId="0" fontId="11" fillId="36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2" fontId="11" fillId="36" borderId="10" xfId="0" applyNumberFormat="1" applyFont="1" applyFill="1" applyBorder="1" applyAlignment="1" applyProtection="1">
      <alignment horizontal="center" vertical="top"/>
      <protection/>
    </xf>
    <xf numFmtId="1" fontId="5" fillId="0" borderId="0" xfId="56" applyNumberFormat="1" applyFont="1" applyAlignment="1">
      <alignment horizontal="center"/>
      <protection/>
    </xf>
    <xf numFmtId="3" fontId="102" fillId="0" borderId="0" xfId="56" applyNumberFormat="1" applyFont="1" applyAlignment="1">
      <alignment wrapText="1"/>
      <protection/>
    </xf>
    <xf numFmtId="3" fontId="103" fillId="0" borderId="10" xfId="56" applyNumberFormat="1" applyFont="1" applyBorder="1" applyAlignment="1">
      <alignment wrapText="1"/>
      <protection/>
    </xf>
    <xf numFmtId="3" fontId="104" fillId="0" borderId="0" xfId="56" applyNumberFormat="1" applyFont="1" applyAlignment="1">
      <alignment horizontal="center"/>
      <protection/>
    </xf>
    <xf numFmtId="0" fontId="97" fillId="0" borderId="0" xfId="0" applyFont="1" applyFill="1" applyAlignment="1">
      <alignment vertical="top"/>
    </xf>
    <xf numFmtId="0" fontId="98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05" fillId="0" borderId="0" xfId="0" applyNumberFormat="1" applyFont="1" applyFill="1" applyBorder="1" applyAlignment="1" applyProtection="1">
      <alignment vertical="top"/>
      <protection/>
    </xf>
    <xf numFmtId="0" fontId="97" fillId="0" borderId="0" xfId="0" applyFont="1" applyFill="1" applyAlignment="1">
      <alignment/>
    </xf>
    <xf numFmtId="3" fontId="97" fillId="0" borderId="0" xfId="0" applyNumberFormat="1" applyFont="1" applyFill="1" applyAlignment="1">
      <alignment vertical="top" wrapText="1"/>
    </xf>
    <xf numFmtId="3" fontId="97" fillId="0" borderId="0" xfId="0" applyNumberFormat="1" applyFont="1" applyFill="1" applyAlignment="1">
      <alignment vertical="top"/>
    </xf>
    <xf numFmtId="0" fontId="97" fillId="0" borderId="0" xfId="0" applyFont="1" applyFill="1" applyAlignment="1">
      <alignment vertical="top" wrapText="1"/>
    </xf>
    <xf numFmtId="0" fontId="106" fillId="0" borderId="0" xfId="0" applyFont="1" applyFill="1" applyAlignment="1">
      <alignment vertical="top" wrapText="1"/>
    </xf>
    <xf numFmtId="3" fontId="106" fillId="0" borderId="0" xfId="0" applyNumberFormat="1" applyFont="1" applyFill="1" applyAlignment="1">
      <alignment vertical="top" wrapText="1"/>
    </xf>
    <xf numFmtId="3" fontId="106" fillId="0" borderId="0" xfId="0" applyNumberFormat="1" applyFont="1" applyFill="1" applyAlignment="1">
      <alignment vertical="top"/>
    </xf>
    <xf numFmtId="3" fontId="90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9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0" xfId="0" applyNumberFormat="1" applyFont="1" applyFill="1" applyBorder="1" applyAlignment="1" applyProtection="1">
      <alignment vertical="top"/>
      <protection/>
    </xf>
    <xf numFmtId="3" fontId="97" fillId="36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35" borderId="0" xfId="0" applyNumberFormat="1" applyFont="1" applyFill="1" applyBorder="1" applyAlignment="1" applyProtection="1">
      <alignment horizontal="center" vertical="top"/>
      <protection/>
    </xf>
    <xf numFmtId="0" fontId="25" fillId="35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" fillId="34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96" fillId="34" borderId="0" xfId="0" applyNumberFormat="1" applyFont="1" applyFill="1" applyBorder="1" applyAlignment="1" applyProtection="1">
      <alignment horizontal="center" vertical="top"/>
      <protection/>
    </xf>
    <xf numFmtId="0" fontId="96" fillId="33" borderId="0" xfId="0" applyNumberFormat="1" applyFont="1" applyFill="1" applyBorder="1" applyAlignment="1" applyProtection="1">
      <alignment horizontal="center" vertical="top"/>
      <protection/>
    </xf>
    <xf numFmtId="0" fontId="107" fillId="0" borderId="0" xfId="0" applyNumberFormat="1" applyFont="1" applyFill="1" applyBorder="1" applyAlignment="1" applyProtection="1">
      <alignment horizontal="center" vertical="top"/>
      <protection/>
    </xf>
    <xf numFmtId="207" fontId="8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90" fillId="0" borderId="10" xfId="0" applyNumberFormat="1" applyFont="1" applyFill="1" applyBorder="1" applyAlignment="1" applyProtection="1">
      <alignment horizontal="center" vertical="center" wrapText="1"/>
      <protection/>
    </xf>
    <xf numFmtId="1" fontId="9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36" borderId="23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2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1" fontId="1" fillId="0" borderId="10" xfId="0" applyNumberFormat="1" applyFont="1" applyFill="1" applyBorder="1" applyAlignment="1" applyProtection="1">
      <alignment vertical="center" wrapText="1"/>
      <protection/>
    </xf>
    <xf numFmtId="1" fontId="89" fillId="0" borderId="10" xfId="0" applyNumberFormat="1" applyFont="1" applyFill="1" applyBorder="1" applyAlignment="1" applyProtection="1">
      <alignment horizontal="center" vertical="center" wrapText="1"/>
      <protection/>
    </xf>
    <xf numFmtId="4" fontId="97" fillId="0" borderId="10" xfId="0" applyNumberFormat="1" applyFont="1" applyFill="1" applyBorder="1" applyAlignment="1" applyProtection="1">
      <alignment vertical="center" wrapText="1"/>
      <protection/>
    </xf>
    <xf numFmtId="1" fontId="1" fillId="39" borderId="10" xfId="0" applyNumberFormat="1" applyFont="1" applyFill="1" applyBorder="1" applyAlignment="1" applyProtection="1">
      <alignment horizontal="right" vertical="top"/>
      <protection/>
    </xf>
    <xf numFmtId="1" fontId="1" fillId="0" borderId="10" xfId="0" applyNumberFormat="1" applyFont="1" applyFill="1" applyBorder="1" applyAlignment="1" applyProtection="1">
      <alignment horizontal="right" vertical="top"/>
      <protection/>
    </xf>
    <xf numFmtId="1" fontId="1" fillId="36" borderId="10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89" fillId="36" borderId="10" xfId="0" applyNumberFormat="1" applyFont="1" applyFill="1" applyBorder="1" applyAlignment="1" applyProtection="1">
      <alignment horizontal="right" vertical="center" wrapText="1"/>
      <protection/>
    </xf>
    <xf numFmtId="1" fontId="89" fillId="36" borderId="10" xfId="0" applyNumberFormat="1" applyFont="1" applyFill="1" applyBorder="1" applyAlignment="1" applyProtection="1">
      <alignment horizontal="right" vertical="center" wrapText="1"/>
      <protection/>
    </xf>
    <xf numFmtId="172" fontId="89" fillId="36" borderId="10" xfId="0" applyNumberFormat="1" applyFont="1" applyFill="1" applyBorder="1" applyAlignment="1" applyProtection="1">
      <alignment horizontal="right" vertical="center" wrapText="1"/>
      <protection/>
    </xf>
    <xf numFmtId="0" fontId="89" fillId="36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Alignment="1">
      <alignment/>
    </xf>
    <xf numFmtId="172" fontId="1" fillId="36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1" fillId="39" borderId="24" xfId="0" applyNumberFormat="1" applyFont="1" applyFill="1" applyBorder="1" applyAlignment="1" applyProtection="1">
      <alignment horizontal="right" vertical="center"/>
      <protection/>
    </xf>
    <xf numFmtId="0" fontId="1" fillId="41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24" xfId="0" applyNumberFormat="1" applyFont="1" applyFill="1" applyBorder="1" applyAlignment="1" applyProtection="1">
      <alignment horizontal="right" vertical="center"/>
      <protection/>
    </xf>
    <xf numFmtId="0" fontId="1" fillId="36" borderId="10" xfId="0" applyNumberFormat="1" applyFont="1" applyFill="1" applyBorder="1" applyAlignment="1" applyProtection="1">
      <alignment horizontal="right" vertical="center"/>
      <protection/>
    </xf>
    <xf numFmtId="1" fontId="1" fillId="36" borderId="10" xfId="0" applyNumberFormat="1" applyFont="1" applyFill="1" applyBorder="1" applyAlignment="1" applyProtection="1">
      <alignment horizontal="right" vertical="center"/>
      <protection/>
    </xf>
    <xf numFmtId="1" fontId="1" fillId="36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0" fontId="5" fillId="36" borderId="10" xfId="0" applyNumberFormat="1" applyFont="1" applyFill="1" applyBorder="1" applyAlignment="1" applyProtection="1">
      <alignment horizontal="right" vertical="center"/>
      <protection/>
    </xf>
    <xf numFmtId="3" fontId="5" fillId="36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172" fontId="1" fillId="36" borderId="10" xfId="0" applyNumberFormat="1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vertical="top"/>
      <protection/>
    </xf>
    <xf numFmtId="1" fontId="101" fillId="0" borderId="0" xfId="0" applyNumberFormat="1" applyFont="1" applyFill="1" applyBorder="1" applyAlignment="1" applyProtection="1">
      <alignment vertical="top"/>
      <protection/>
    </xf>
    <xf numFmtId="0" fontId="101" fillId="0" borderId="0" xfId="0" applyNumberFormat="1" applyFont="1" applyFill="1" applyBorder="1" applyAlignment="1" applyProtection="1">
      <alignment horizontal="center" vertical="top"/>
      <protection/>
    </xf>
    <xf numFmtId="0" fontId="89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89" fillId="0" borderId="12" xfId="0" applyNumberFormat="1" applyFont="1" applyFill="1" applyBorder="1" applyAlignment="1" applyProtection="1">
      <alignment vertical="top" wrapText="1"/>
      <protection/>
    </xf>
    <xf numFmtId="0" fontId="11" fillId="0" borderId="12" xfId="0" applyNumberFormat="1" applyFont="1" applyFill="1" applyBorder="1" applyAlignment="1" applyProtection="1">
      <alignment vertical="top" wrapText="1"/>
      <protection/>
    </xf>
    <xf numFmtId="0" fontId="8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25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89" fillId="0" borderId="26" xfId="0" applyNumberFormat="1" applyFont="1" applyFill="1" applyBorder="1" applyAlignment="1" applyProtection="1">
      <alignment horizontal="right" vertical="center" wrapText="1"/>
      <protection/>
    </xf>
    <xf numFmtId="0" fontId="89" fillId="0" borderId="21" xfId="0" applyNumberFormat="1" applyFont="1" applyFill="1" applyBorder="1" applyAlignment="1" applyProtection="1">
      <alignment horizontal="right" vertical="center" wrapText="1"/>
      <protection/>
    </xf>
    <xf numFmtId="0" fontId="89" fillId="0" borderId="23" xfId="0" applyNumberFormat="1" applyFont="1" applyFill="1" applyBorder="1" applyAlignment="1" applyProtection="1">
      <alignment horizontal="right" vertical="center" wrapText="1"/>
      <protection/>
    </xf>
    <xf numFmtId="0" fontId="89" fillId="0" borderId="10" xfId="0" applyNumberFormat="1" applyFont="1" applyFill="1" applyBorder="1" applyAlignment="1" applyProtection="1">
      <alignment horizontal="center" vertical="top"/>
      <protection/>
    </xf>
    <xf numFmtId="0" fontId="89" fillId="0" borderId="12" xfId="0" applyNumberFormat="1" applyFont="1" applyFill="1" applyBorder="1" applyAlignment="1" applyProtection="1">
      <alignment horizontal="center" vertical="top"/>
      <protection/>
    </xf>
    <xf numFmtId="0" fontId="89" fillId="0" borderId="25" xfId="0" applyNumberFormat="1" applyFont="1" applyFill="1" applyBorder="1" applyAlignment="1" applyProtection="1">
      <alignment horizontal="center" vertical="top"/>
      <protection/>
    </xf>
    <xf numFmtId="0" fontId="89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89" fillId="0" borderId="10" xfId="0" applyNumberFormat="1" applyFont="1" applyFill="1" applyBorder="1" applyAlignment="1" applyProtection="1">
      <alignment horizontal="right" vertical="center" wrapText="1"/>
      <protection/>
    </xf>
    <xf numFmtId="0" fontId="89" fillId="0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9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" fontId="1" fillId="0" borderId="26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0" borderId="10" xfId="56" applyNumberFormat="1" applyFont="1" applyBorder="1" applyAlignment="1">
      <alignment horizontal="center" vertical="center" wrapText="1"/>
      <protection/>
    </xf>
    <xf numFmtId="1" fontId="1" fillId="0" borderId="10" xfId="56" applyNumberFormat="1" applyFont="1" applyBorder="1" applyAlignment="1">
      <alignment horizontal="center"/>
      <protection/>
    </xf>
    <xf numFmtId="3" fontId="1" fillId="0" borderId="10" xfId="56" applyNumberFormat="1" applyFont="1" applyBorder="1" applyAlignment="1">
      <alignment horizontal="center" vertical="center"/>
      <protection/>
    </xf>
    <xf numFmtId="3" fontId="1" fillId="0" borderId="10" xfId="56" applyNumberFormat="1" applyFont="1" applyBorder="1" applyAlignment="1">
      <alignment horizontal="center"/>
      <protection/>
    </xf>
    <xf numFmtId="1" fontId="1" fillId="0" borderId="10" xfId="0" applyNumberFormat="1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npu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Расчёты Бизнес план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9</xdr:row>
      <xdr:rowOff>95250</xdr:rowOff>
    </xdr:from>
    <xdr:to>
      <xdr:col>4</xdr:col>
      <xdr:colOff>600075</xdr:colOff>
      <xdr:row>9</xdr:row>
      <xdr:rowOff>104775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4524375" y="1724025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57150</xdr:rowOff>
    </xdr:from>
    <xdr:to>
      <xdr:col>7</xdr:col>
      <xdr:colOff>457200</xdr:colOff>
      <xdr:row>13</xdr:row>
      <xdr:rowOff>133350</xdr:rowOff>
    </xdr:to>
    <xdr:sp>
      <xdr:nvSpPr>
        <xdr:cNvPr id="2" name="Прямая со стрелкой 8"/>
        <xdr:cNvSpPr>
          <a:spLocks/>
        </xdr:cNvSpPr>
      </xdr:nvSpPr>
      <xdr:spPr>
        <a:xfrm flipV="1">
          <a:off x="6610350" y="2333625"/>
          <a:ext cx="2667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1;&#1048;&#1047;&#1053;&#1045;&#1057;-&#1055;&#1051;&#1040;&#1053;\&#1041;&#1080;&#1079;&#1085;&#1077;&#1089;-&#1087;&#1083;&#1072;&#1085;%20&#1052;&#1057;&#1055;\&#1041;&#1055;%20&#1082;&#1086;&#1090;&#1077;&#1083;&#1100;&#1085;&#1086;&#1081;\2019\&#1058;&#1077;&#1087;&#1083;&#1086;_&#1079;&#1072;&#1087;&#1088;&#1086;&#1089;%20&#1076;&#1072;&#1085;&#1085;&#1099;&#1093;%20&#1076;&#1083;&#1103;%20&#1084;&#1086;&#1076;&#1077;&#1083;&#1080;%20&#1091;%20&#1082;&#1083;&#1080;&#1077;&#1085;&#1090;&#1072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Input"/>
      <sheetName val="Controls"/>
    </sheetNames>
    <sheetDataSet>
      <sheetData sheetId="1">
        <row r="41">
          <cell r="D4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2"/>
  <sheetViews>
    <sheetView tabSelected="1" zoomScale="80" zoomScaleNormal="80" zoomScalePageLayoutView="0" workbookViewId="0" topLeftCell="A185">
      <selection activeCell="F217" sqref="F217"/>
    </sheetView>
  </sheetViews>
  <sheetFormatPr defaultColWidth="9.140625" defaultRowHeight="12.75" outlineLevelRow="1"/>
  <cols>
    <col min="1" max="1" width="4.421875" style="128" customWidth="1"/>
    <col min="2" max="2" width="32.8515625" style="45" customWidth="1"/>
    <col min="3" max="3" width="12.421875" style="45" customWidth="1"/>
    <col min="4" max="4" width="13.140625" style="45" customWidth="1"/>
    <col min="5" max="5" width="11.28125" style="45" customWidth="1"/>
    <col min="6" max="6" width="11.8515625" style="45" customWidth="1"/>
    <col min="7" max="7" width="10.28125" style="45" customWidth="1"/>
    <col min="8" max="8" width="9.57421875" style="45" customWidth="1"/>
    <col min="9" max="9" width="12.00390625" style="45" customWidth="1"/>
    <col min="10" max="16384" width="9.140625" style="45" customWidth="1"/>
  </cols>
  <sheetData>
    <row r="1" spans="1:3" s="101" customFormat="1" ht="18.75">
      <c r="A1" s="195"/>
      <c r="B1" s="102" t="s">
        <v>144</v>
      </c>
      <c r="C1" s="101" t="s">
        <v>245</v>
      </c>
    </row>
    <row r="2" ht="12.75"/>
    <row r="3" spans="1:86" s="49" customFormat="1" ht="12.75">
      <c r="A3" s="196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1:86" s="49" customFormat="1" ht="20.25">
      <c r="A4" s="196"/>
      <c r="B4" s="54" t="s">
        <v>52</v>
      </c>
      <c r="C4" s="54"/>
      <c r="D4" s="55"/>
      <c r="E4" s="55"/>
      <c r="F4" s="55"/>
      <c r="G4" s="56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s="50" customFormat="1" ht="12.75">
      <c r="A5" s="197"/>
      <c r="B5" s="51" t="s">
        <v>228</v>
      </c>
      <c r="C5" s="51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</row>
    <row r="6" spans="1:86" s="50" customFormat="1" ht="12.75">
      <c r="A6" s="197"/>
      <c r="B6" s="51" t="s">
        <v>229</v>
      </c>
      <c r="C6" s="51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</row>
    <row r="7" ht="12.75"/>
    <row r="8" spans="2:8" ht="12.75">
      <c r="B8" s="103" t="s">
        <v>53</v>
      </c>
      <c r="C8" s="104"/>
      <c r="D8" s="104"/>
      <c r="E8" s="104"/>
      <c r="F8" s="104"/>
      <c r="G8" s="104"/>
      <c r="H8" s="105"/>
    </row>
    <row r="9" spans="2:8" ht="12.75">
      <c r="B9" s="106"/>
      <c r="H9" s="107"/>
    </row>
    <row r="10" spans="2:8" ht="12.75">
      <c r="B10" s="106" t="s">
        <v>72</v>
      </c>
      <c r="F10" s="193"/>
      <c r="H10" s="107"/>
    </row>
    <row r="11" spans="1:8" s="52" customFormat="1" ht="12.75">
      <c r="A11" s="198"/>
      <c r="B11" s="108" t="s">
        <v>74</v>
      </c>
      <c r="H11" s="109"/>
    </row>
    <row r="12" spans="2:8" ht="12.75">
      <c r="B12" s="106"/>
      <c r="H12" s="107"/>
    </row>
    <row r="13" spans="2:8" ht="12.75">
      <c r="B13" s="106" t="s">
        <v>54</v>
      </c>
      <c r="H13" s="107"/>
    </row>
    <row r="14" spans="2:8" ht="12.75">
      <c r="B14" s="108" t="s">
        <v>55</v>
      </c>
      <c r="C14" s="52"/>
      <c r="H14" s="107"/>
    </row>
    <row r="15" spans="2:8" ht="12.75">
      <c r="B15" s="108"/>
      <c r="C15" s="52"/>
      <c r="H15" s="107"/>
    </row>
    <row r="16" spans="2:8" ht="12.75">
      <c r="B16" s="106" t="s">
        <v>143</v>
      </c>
      <c r="H16" s="107"/>
    </row>
    <row r="17" spans="2:8" ht="12.75">
      <c r="B17" s="110" t="s">
        <v>340</v>
      </c>
      <c r="C17" s="111"/>
      <c r="D17" s="111"/>
      <c r="E17" s="111"/>
      <c r="F17" s="111"/>
      <c r="G17" s="111"/>
      <c r="H17" s="112"/>
    </row>
    <row r="18" ht="12.75">
      <c r="B18" s="52"/>
    </row>
    <row r="19" spans="1:86" s="53" customFormat="1" ht="12.75">
      <c r="A19" s="199"/>
      <c r="B19" s="47" t="s">
        <v>59</v>
      </c>
      <c r="C19" s="47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</row>
    <row r="20" ht="12.75"/>
    <row r="21" spans="2:4" ht="12.75">
      <c r="B21" s="45" t="s">
        <v>61</v>
      </c>
      <c r="C21" s="57"/>
      <c r="D21" s="169" t="s">
        <v>62</v>
      </c>
    </row>
    <row r="22" spans="2:4" ht="12.75">
      <c r="B22" s="45" t="s">
        <v>63</v>
      </c>
      <c r="C22" s="57"/>
      <c r="D22" s="169" t="s">
        <v>60</v>
      </c>
    </row>
    <row r="23" spans="2:4" ht="12.75">
      <c r="B23" s="45" t="s">
        <v>64</v>
      </c>
      <c r="C23" s="57"/>
      <c r="D23" s="169">
        <f>5*4</f>
        <v>20</v>
      </c>
    </row>
    <row r="24" spans="2:4" ht="12.75">
      <c r="B24" s="45" t="s">
        <v>190</v>
      </c>
      <c r="C24" s="57"/>
      <c r="D24" s="169" t="s">
        <v>8</v>
      </c>
    </row>
    <row r="25" spans="2:3" ht="12.75">
      <c r="B25" s="48" t="s">
        <v>191</v>
      </c>
      <c r="C25" s="57"/>
    </row>
    <row r="26" spans="2:4" ht="12.75" hidden="1">
      <c r="B26" s="45" t="s">
        <v>202</v>
      </c>
      <c r="C26" s="57"/>
      <c r="D26" s="170">
        <v>1</v>
      </c>
    </row>
    <row r="27" spans="2:3" ht="12.75" hidden="1">
      <c r="B27" s="48" t="s">
        <v>203</v>
      </c>
      <c r="C27" s="57"/>
    </row>
    <row r="28" spans="2:4" ht="12.75" hidden="1">
      <c r="B28" s="45" t="s">
        <v>204</v>
      </c>
      <c r="C28" s="57"/>
      <c r="D28" s="171">
        <f>IF(D26=1,1,1.05)</f>
        <v>1</v>
      </c>
    </row>
    <row r="29" ht="12.75"/>
    <row r="30" spans="1:86" s="53" customFormat="1" ht="12.75">
      <c r="A30" s="199"/>
      <c r="B30" s="47" t="s">
        <v>68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</row>
    <row r="31" ht="12.75">
      <c r="B31" s="52" t="s">
        <v>230</v>
      </c>
    </row>
    <row r="32" ht="12.75">
      <c r="B32" s="52"/>
    </row>
    <row r="33" spans="2:4" ht="12.75">
      <c r="B33" s="45" t="s">
        <v>56</v>
      </c>
      <c r="D33" s="94">
        <v>2019</v>
      </c>
    </row>
    <row r="34" spans="1:2" s="48" customFormat="1" ht="12">
      <c r="A34" s="200"/>
      <c r="B34" s="48" t="s">
        <v>57</v>
      </c>
    </row>
    <row r="35" spans="2:4" ht="12.75">
      <c r="B35" s="45" t="s">
        <v>58</v>
      </c>
      <c r="D35" s="94">
        <v>1</v>
      </c>
    </row>
    <row r="36" spans="1:2" s="58" customFormat="1" ht="12">
      <c r="A36" s="201"/>
      <c r="B36" s="48" t="s">
        <v>66</v>
      </c>
    </row>
    <row r="37" ht="12.75"/>
    <row r="38" spans="2:4" ht="12.75">
      <c r="B38" s="45" t="s">
        <v>65</v>
      </c>
      <c r="D38" s="94">
        <v>4</v>
      </c>
    </row>
    <row r="39" spans="1:2" s="58" customFormat="1" ht="12">
      <c r="A39" s="201"/>
      <c r="B39" s="48" t="s">
        <v>67</v>
      </c>
    </row>
    <row r="40" ht="12.75"/>
    <row r="41" spans="1:86" s="47" customFormat="1" ht="12.75">
      <c r="A41" s="202"/>
      <c r="B41" s="47" t="s">
        <v>69</v>
      </c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</row>
    <row r="42" ht="12.75">
      <c r="B42" s="52" t="s">
        <v>73</v>
      </c>
    </row>
    <row r="43" ht="12.75">
      <c r="B43" s="52"/>
    </row>
    <row r="44" spans="1:2" ht="15">
      <c r="A44" s="128" t="s">
        <v>183</v>
      </c>
      <c r="B44" s="62" t="s">
        <v>220</v>
      </c>
    </row>
    <row r="45" spans="1:7" s="218" customFormat="1" ht="24" customHeight="1">
      <c r="A45" s="152"/>
      <c r="B45" s="276" t="s">
        <v>70</v>
      </c>
      <c r="C45" s="276" t="s">
        <v>221</v>
      </c>
      <c r="D45" s="232" t="s">
        <v>246</v>
      </c>
      <c r="E45" s="276" t="s">
        <v>248</v>
      </c>
      <c r="F45" s="276" t="s">
        <v>256</v>
      </c>
      <c r="G45" s="276" t="s">
        <v>257</v>
      </c>
    </row>
    <row r="46" spans="1:7" s="218" customFormat="1" ht="12.75">
      <c r="A46" s="152"/>
      <c r="B46" s="276"/>
      <c r="C46" s="276"/>
      <c r="D46" s="232" t="s">
        <v>247</v>
      </c>
      <c r="E46" s="276"/>
      <c r="F46" s="276"/>
      <c r="G46" s="276"/>
    </row>
    <row r="47" spans="1:7" s="218" customFormat="1" ht="12.75">
      <c r="A47" s="152"/>
      <c r="B47" s="284" t="s">
        <v>249</v>
      </c>
      <c r="C47" s="284"/>
      <c r="D47" s="284"/>
      <c r="E47" s="284"/>
      <c r="F47" s="284"/>
      <c r="G47" s="284"/>
    </row>
    <row r="48" spans="1:7" s="218" customFormat="1" ht="12.75">
      <c r="A48" s="152"/>
      <c r="B48" s="234" t="s">
        <v>250</v>
      </c>
      <c r="C48" s="235">
        <v>1</v>
      </c>
      <c r="D48" s="244">
        <v>50000</v>
      </c>
      <c r="E48" s="244">
        <v>50000</v>
      </c>
      <c r="F48" s="244">
        <f>E48*1.302</f>
        <v>65100</v>
      </c>
      <c r="G48" s="233" t="s">
        <v>258</v>
      </c>
    </row>
    <row r="49" spans="1:7" s="218" customFormat="1" ht="12.75">
      <c r="A49" s="152"/>
      <c r="B49" s="234" t="s">
        <v>260</v>
      </c>
      <c r="C49" s="235">
        <v>1</v>
      </c>
      <c r="D49" s="244">
        <v>5000</v>
      </c>
      <c r="E49" s="244">
        <f>D49</f>
        <v>5000</v>
      </c>
      <c r="F49" s="244">
        <f>E49</f>
        <v>5000</v>
      </c>
      <c r="G49" s="233" t="s">
        <v>258</v>
      </c>
    </row>
    <row r="50" spans="1:7" s="218" customFormat="1" ht="12.75">
      <c r="A50" s="152"/>
      <c r="B50" s="284" t="s">
        <v>251</v>
      </c>
      <c r="C50" s="284"/>
      <c r="D50" s="284"/>
      <c r="E50" s="284"/>
      <c r="F50" s="284"/>
      <c r="G50" s="284"/>
    </row>
    <row r="51" spans="1:7" s="218" customFormat="1" ht="12.75">
      <c r="A51" s="152"/>
      <c r="B51" s="234" t="s">
        <v>252</v>
      </c>
      <c r="C51" s="242">
        <v>4</v>
      </c>
      <c r="D51" s="243">
        <v>45000</v>
      </c>
      <c r="E51" s="243">
        <f>C51*D51</f>
        <v>180000</v>
      </c>
      <c r="F51" s="243">
        <f>E51*1.302</f>
        <v>234360</v>
      </c>
      <c r="G51" s="233" t="s">
        <v>259</v>
      </c>
    </row>
    <row r="52" spans="1:7" s="218" customFormat="1" ht="12.75">
      <c r="A52" s="152"/>
      <c r="B52" s="234" t="s">
        <v>253</v>
      </c>
      <c r="C52" s="242">
        <v>2</v>
      </c>
      <c r="D52" s="243">
        <v>45000</v>
      </c>
      <c r="E52" s="243">
        <f>C52*D52</f>
        <v>90000</v>
      </c>
      <c r="F52" s="243">
        <f>E52*1.302</f>
        <v>117180</v>
      </c>
      <c r="G52" s="233" t="s">
        <v>259</v>
      </c>
    </row>
    <row r="53" spans="2:7" ht="12.75">
      <c r="B53" s="235" t="s">
        <v>254</v>
      </c>
      <c r="C53" s="242">
        <v>4</v>
      </c>
      <c r="D53" s="243">
        <v>40000</v>
      </c>
      <c r="E53" s="243">
        <f>C53*D53</f>
        <v>160000</v>
      </c>
      <c r="F53" s="243">
        <f>E53*1.302</f>
        <v>208320</v>
      </c>
      <c r="G53" s="233" t="s">
        <v>294</v>
      </c>
    </row>
    <row r="54" spans="2:7" ht="12.75">
      <c r="B54" s="235" t="s">
        <v>255</v>
      </c>
      <c r="C54" s="242">
        <v>1</v>
      </c>
      <c r="D54" s="243">
        <v>40000</v>
      </c>
      <c r="E54" s="243">
        <f>C54*D54</f>
        <v>40000</v>
      </c>
      <c r="F54" s="243">
        <f>E54*1.302</f>
        <v>52080</v>
      </c>
      <c r="G54" s="233" t="s">
        <v>258</v>
      </c>
    </row>
    <row r="55" spans="2:7" ht="12.75">
      <c r="B55" s="234" t="s">
        <v>71</v>
      </c>
      <c r="C55" s="245">
        <f>SUM(C51:C54,C48,C49)</f>
        <v>13</v>
      </c>
      <c r="D55" s="246">
        <f>SUM(D51:D54,D48,D49)</f>
        <v>225000</v>
      </c>
      <c r="E55" s="246">
        <f>SUM(E51:E54,E48,E49)</f>
        <v>525000</v>
      </c>
      <c r="F55" s="246">
        <f>SUM(F51:F54,F48,F49)</f>
        <v>682040</v>
      </c>
      <c r="G55" s="235"/>
    </row>
    <row r="56" ht="12.75"/>
    <row r="57" spans="1:86" s="46" customFormat="1" ht="12" customHeight="1">
      <c r="A57" s="203"/>
      <c r="B57" s="46" t="s">
        <v>231</v>
      </c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</row>
    <row r="58" ht="12.75">
      <c r="B58" s="52" t="s">
        <v>182</v>
      </c>
    </row>
    <row r="59" ht="12.75">
      <c r="B59" s="52"/>
    </row>
    <row r="60" spans="1:2" ht="17.25" customHeight="1">
      <c r="A60" s="128" t="s">
        <v>184</v>
      </c>
      <c r="B60" s="60" t="s">
        <v>329</v>
      </c>
    </row>
    <row r="61" spans="2:5" ht="25.5">
      <c r="B61" s="212" t="s">
        <v>227</v>
      </c>
      <c r="C61" s="212" t="s">
        <v>75</v>
      </c>
      <c r="D61" s="212" t="s">
        <v>221</v>
      </c>
      <c r="E61" s="162" t="s">
        <v>78</v>
      </c>
    </row>
    <row r="62" spans="2:5" ht="12.75">
      <c r="B62" s="259" t="s">
        <v>261</v>
      </c>
      <c r="C62" s="285"/>
      <c r="D62" s="285"/>
      <c r="E62" s="260"/>
    </row>
    <row r="63" spans="2:5" ht="30" customHeight="1">
      <c r="B63" s="206" t="s">
        <v>262</v>
      </c>
      <c r="C63" s="68">
        <v>56000</v>
      </c>
      <c r="D63" s="216">
        <v>4</v>
      </c>
      <c r="E63" s="211">
        <f>C63*D63/1000</f>
        <v>224</v>
      </c>
    </row>
    <row r="64" spans="2:5" ht="29.25" customHeight="1">
      <c r="B64" s="206" t="s">
        <v>263</v>
      </c>
      <c r="C64" s="68">
        <v>2800000</v>
      </c>
      <c r="D64" s="216">
        <v>1</v>
      </c>
      <c r="E64" s="211">
        <f>C64*D64/1000</f>
        <v>2800</v>
      </c>
    </row>
    <row r="65" spans="2:5" ht="12.75">
      <c r="B65" s="206" t="s">
        <v>264</v>
      </c>
      <c r="C65" s="68">
        <v>2145000</v>
      </c>
      <c r="D65" s="216">
        <v>1</v>
      </c>
      <c r="E65" s="211">
        <f>C65*D65/1000</f>
        <v>2145</v>
      </c>
    </row>
    <row r="66" spans="2:5" ht="25.5">
      <c r="B66" s="206" t="s">
        <v>265</v>
      </c>
      <c r="C66" s="68">
        <v>3900000</v>
      </c>
      <c r="D66" s="216">
        <v>1</v>
      </c>
      <c r="E66" s="211">
        <f>C66*D66/1000</f>
        <v>3900</v>
      </c>
    </row>
    <row r="67" spans="2:5" ht="12.75">
      <c r="B67" s="206" t="s">
        <v>266</v>
      </c>
      <c r="C67" s="68">
        <v>945000</v>
      </c>
      <c r="D67" s="216">
        <v>1</v>
      </c>
      <c r="E67" s="211">
        <f>C67*D67/1000</f>
        <v>945</v>
      </c>
    </row>
    <row r="68" spans="2:5" ht="12.75">
      <c r="B68" s="281" t="s">
        <v>226</v>
      </c>
      <c r="C68" s="281"/>
      <c r="D68" s="281"/>
      <c r="E68" s="90">
        <f>SUM(E62:E67)</f>
        <v>10014</v>
      </c>
    </row>
    <row r="69" spans="2:5" ht="12.75">
      <c r="B69" s="280" t="s">
        <v>267</v>
      </c>
      <c r="C69" s="280"/>
      <c r="D69" s="280"/>
      <c r="E69" s="280"/>
    </row>
    <row r="70" spans="2:5" ht="12.75">
      <c r="B70" s="191" t="s">
        <v>268</v>
      </c>
      <c r="C70" s="68">
        <v>11800000</v>
      </c>
      <c r="D70" s="68">
        <v>1</v>
      </c>
      <c r="E70" s="90">
        <f>D70*C70/1000</f>
        <v>11800</v>
      </c>
    </row>
    <row r="71" spans="2:5" ht="12.75">
      <c r="B71" s="281" t="s">
        <v>226</v>
      </c>
      <c r="C71" s="281"/>
      <c r="D71" s="281"/>
      <c r="E71" s="90">
        <f>E70</f>
        <v>11800</v>
      </c>
    </row>
    <row r="72" spans="2:5" ht="12.75">
      <c r="B72" s="280" t="s">
        <v>233</v>
      </c>
      <c r="C72" s="280"/>
      <c r="D72" s="280"/>
      <c r="E72" s="280"/>
    </row>
    <row r="73" spans="2:5" ht="12.75">
      <c r="B73" s="93" t="s">
        <v>309</v>
      </c>
      <c r="C73" s="93">
        <v>6000</v>
      </c>
      <c r="D73" s="190">
        <f>C51+C52</f>
        <v>6</v>
      </c>
      <c r="E73" s="90">
        <f>D73*C73/1000</f>
        <v>36</v>
      </c>
    </row>
    <row r="74" spans="2:5" ht="25.5" hidden="1">
      <c r="B74" s="93" t="s">
        <v>223</v>
      </c>
      <c r="C74" s="190">
        <v>9000</v>
      </c>
      <c r="D74" s="190">
        <v>0</v>
      </c>
      <c r="E74" s="90">
        <f>D74*C74/1000</f>
        <v>0</v>
      </c>
    </row>
    <row r="75" spans="2:5" ht="12.75" hidden="1">
      <c r="B75" s="93" t="s">
        <v>224</v>
      </c>
      <c r="C75" s="190">
        <v>25000</v>
      </c>
      <c r="D75" s="190">
        <v>0</v>
      </c>
      <c r="E75" s="90">
        <f>D75*C75/1000</f>
        <v>0</v>
      </c>
    </row>
    <row r="76" spans="2:5" ht="12.75" hidden="1">
      <c r="B76" s="93" t="s">
        <v>225</v>
      </c>
      <c r="C76" s="190">
        <v>10000</v>
      </c>
      <c r="D76" s="190">
        <v>0</v>
      </c>
      <c r="E76" s="90">
        <f>D76*C76/1000</f>
        <v>0</v>
      </c>
    </row>
    <row r="77" spans="2:5" ht="12.75" hidden="1">
      <c r="B77" s="93" t="s">
        <v>269</v>
      </c>
      <c r="C77" s="190">
        <v>12000</v>
      </c>
      <c r="D77" s="190">
        <v>0</v>
      </c>
      <c r="E77" s="90">
        <f>D77*C77/1000</f>
        <v>0</v>
      </c>
    </row>
    <row r="78" spans="2:5" ht="12.75">
      <c r="B78" s="283" t="s">
        <v>226</v>
      </c>
      <c r="C78" s="283"/>
      <c r="D78" s="283"/>
      <c r="E78" s="90">
        <f>E73</f>
        <v>36</v>
      </c>
    </row>
    <row r="79" spans="2:5" ht="12.75">
      <c r="B79" s="281" t="s">
        <v>76</v>
      </c>
      <c r="C79" s="281"/>
      <c r="D79" s="281"/>
      <c r="E79" s="191">
        <v>436</v>
      </c>
    </row>
    <row r="80" spans="2:5" ht="12.75">
      <c r="B80" s="281" t="s">
        <v>77</v>
      </c>
      <c r="C80" s="281"/>
      <c r="D80" s="281"/>
      <c r="E80" s="221">
        <v>1.3</v>
      </c>
    </row>
    <row r="81" spans="2:5" ht="12.75">
      <c r="B81" s="281" t="s">
        <v>79</v>
      </c>
      <c r="C81" s="281"/>
      <c r="D81" s="281"/>
      <c r="E81" s="194">
        <f>E79*E80</f>
        <v>566.8000000000001</v>
      </c>
    </row>
    <row r="82" spans="2:5" ht="12.75">
      <c r="B82" s="281" t="s">
        <v>71</v>
      </c>
      <c r="C82" s="281"/>
      <c r="D82" s="281"/>
      <c r="E82" s="166">
        <f>E81+E78+E71+E68</f>
        <v>22416.8</v>
      </c>
    </row>
    <row r="83" ht="12.75"/>
    <row r="84" spans="1:86" s="46" customFormat="1" ht="12" customHeight="1">
      <c r="A84" s="203"/>
      <c r="B84" s="46" t="s">
        <v>80</v>
      </c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</row>
    <row r="85" ht="12.75">
      <c r="B85" s="52" t="s">
        <v>181</v>
      </c>
    </row>
    <row r="86" ht="12.75">
      <c r="B86" s="52"/>
    </row>
    <row r="87" spans="1:2" s="61" customFormat="1" ht="15">
      <c r="A87" s="128" t="s">
        <v>232</v>
      </c>
      <c r="B87" s="60" t="s">
        <v>237</v>
      </c>
    </row>
    <row r="88" spans="1:5" s="61" customFormat="1" ht="12.75">
      <c r="A88" s="128"/>
      <c r="B88" s="127" t="s">
        <v>147</v>
      </c>
      <c r="C88" s="127" t="s">
        <v>148</v>
      </c>
      <c r="D88" s="127" t="s">
        <v>149</v>
      </c>
      <c r="E88" s="127" t="s">
        <v>150</v>
      </c>
    </row>
    <row r="89" spans="2:5" s="128" customFormat="1" ht="12.75">
      <c r="B89" s="129">
        <v>0</v>
      </c>
      <c r="C89" s="129">
        <f>B89</f>
        <v>0</v>
      </c>
      <c r="D89" s="129">
        <f>C89</f>
        <v>0</v>
      </c>
      <c r="E89" s="129">
        <f>D89</f>
        <v>0</v>
      </c>
    </row>
    <row r="90" ht="12.75">
      <c r="B90" s="52"/>
    </row>
    <row r="91" spans="1:2" ht="17.25" customHeight="1">
      <c r="A91" s="128" t="s">
        <v>205</v>
      </c>
      <c r="B91" s="63" t="s">
        <v>238</v>
      </c>
    </row>
    <row r="92" spans="1:15" s="61" customFormat="1" ht="52.5" customHeight="1">
      <c r="A92" s="128"/>
      <c r="B92" s="59" t="s">
        <v>2</v>
      </c>
      <c r="C92" s="64" t="s">
        <v>12</v>
      </c>
      <c r="D92" s="64" t="s">
        <v>13</v>
      </c>
      <c r="E92" s="64" t="s">
        <v>14</v>
      </c>
      <c r="F92" s="64" t="s">
        <v>15</v>
      </c>
      <c r="G92" s="64" t="s">
        <v>16</v>
      </c>
      <c r="H92" s="64" t="s">
        <v>17</v>
      </c>
      <c r="I92" s="64" t="s">
        <v>18</v>
      </c>
      <c r="J92" s="64" t="s">
        <v>19</v>
      </c>
      <c r="K92" s="64" t="s">
        <v>20</v>
      </c>
      <c r="L92" s="64" t="s">
        <v>21</v>
      </c>
      <c r="M92" s="64" t="s">
        <v>22</v>
      </c>
      <c r="N92" s="64" t="s">
        <v>23</v>
      </c>
      <c r="O92" s="65" t="s">
        <v>24</v>
      </c>
    </row>
    <row r="93" spans="1:15" s="61" customFormat="1" ht="25.5">
      <c r="A93" s="128"/>
      <c r="B93" s="214" t="s">
        <v>81</v>
      </c>
      <c r="C93" s="215">
        <v>27</v>
      </c>
      <c r="D93" s="215">
        <v>27</v>
      </c>
      <c r="E93" s="215">
        <v>30</v>
      </c>
      <c r="F93" s="215">
        <v>30</v>
      </c>
      <c r="G93" s="215">
        <v>29</v>
      </c>
      <c r="H93" s="215">
        <v>30</v>
      </c>
      <c r="I93" s="215">
        <v>31</v>
      </c>
      <c r="J93" s="215">
        <v>31</v>
      </c>
      <c r="K93" s="215">
        <v>30</v>
      </c>
      <c r="L93" s="215">
        <v>31</v>
      </c>
      <c r="M93" s="215">
        <v>30</v>
      </c>
      <c r="N93" s="215">
        <v>30</v>
      </c>
      <c r="O93" s="238">
        <f>SUM(C93:N93)</f>
        <v>356</v>
      </c>
    </row>
    <row r="94" spans="1:15" s="61" customFormat="1" ht="12.75">
      <c r="A94" s="128"/>
      <c r="B94" s="282" t="s">
        <v>270</v>
      </c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</row>
    <row r="95" spans="1:15" s="61" customFormat="1" ht="26.25" customHeight="1">
      <c r="A95" s="128"/>
      <c r="B95" s="67" t="s">
        <v>271</v>
      </c>
      <c r="C95" s="216">
        <v>15</v>
      </c>
      <c r="D95" s="216">
        <v>18</v>
      </c>
      <c r="E95" s="216">
        <v>31</v>
      </c>
      <c r="F95" s="216">
        <v>30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31</v>
      </c>
      <c r="M95" s="216">
        <v>30</v>
      </c>
      <c r="N95" s="216">
        <v>18</v>
      </c>
      <c r="O95" s="238">
        <f>SUM(C95:N95)</f>
        <v>173</v>
      </c>
    </row>
    <row r="96" spans="1:15" s="61" customFormat="1" ht="27.75" customHeight="1">
      <c r="A96" s="128"/>
      <c r="B96" s="67" t="s">
        <v>272</v>
      </c>
      <c r="C96" s="216">
        <v>9</v>
      </c>
      <c r="D96" s="216">
        <v>10</v>
      </c>
      <c r="E96" s="216">
        <v>18</v>
      </c>
      <c r="F96" s="216">
        <v>17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18</v>
      </c>
      <c r="M96" s="216">
        <v>17</v>
      </c>
      <c r="N96" s="216">
        <v>10</v>
      </c>
      <c r="O96" s="238">
        <f>SUM(C96:N96)</f>
        <v>99</v>
      </c>
    </row>
    <row r="97" spans="1:15" s="61" customFormat="1" ht="12.75">
      <c r="A97" s="128"/>
      <c r="B97" s="67" t="s">
        <v>273</v>
      </c>
      <c r="C97" s="69">
        <f>C96%*$O$97</f>
        <v>360</v>
      </c>
      <c r="D97" s="69">
        <f aca="true" t="shared" si="0" ref="D97:N97">D96%*$O$97</f>
        <v>400</v>
      </c>
      <c r="E97" s="69">
        <f t="shared" si="0"/>
        <v>720</v>
      </c>
      <c r="F97" s="69">
        <f t="shared" si="0"/>
        <v>680</v>
      </c>
      <c r="G97" s="69">
        <f t="shared" si="0"/>
        <v>0</v>
      </c>
      <c r="H97" s="69">
        <f t="shared" si="0"/>
        <v>0</v>
      </c>
      <c r="I97" s="69">
        <f t="shared" si="0"/>
        <v>0</v>
      </c>
      <c r="J97" s="69">
        <f t="shared" si="0"/>
        <v>0</v>
      </c>
      <c r="K97" s="69">
        <f t="shared" si="0"/>
        <v>0</v>
      </c>
      <c r="L97" s="69">
        <f t="shared" si="0"/>
        <v>720</v>
      </c>
      <c r="M97" s="69">
        <f t="shared" si="0"/>
        <v>680</v>
      </c>
      <c r="N97" s="69">
        <f t="shared" si="0"/>
        <v>400</v>
      </c>
      <c r="O97" s="236">
        <v>4000</v>
      </c>
    </row>
    <row r="98" spans="1:15" s="61" customFormat="1" ht="12.75">
      <c r="A98" s="128"/>
      <c r="B98" s="282" t="s">
        <v>274</v>
      </c>
      <c r="C98" s="282"/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</row>
    <row r="99" spans="1:15" s="61" customFormat="1" ht="25.5">
      <c r="A99" s="128"/>
      <c r="B99" s="206" t="str">
        <f>B95</f>
        <v>Эффективный фонд рабочего времени</v>
      </c>
      <c r="C99" s="219">
        <v>17</v>
      </c>
      <c r="D99" s="219">
        <v>20</v>
      </c>
      <c r="E99" s="219">
        <v>20</v>
      </c>
      <c r="F99" s="219">
        <v>22</v>
      </c>
      <c r="G99" s="219">
        <v>18</v>
      </c>
      <c r="H99" s="219">
        <v>19</v>
      </c>
      <c r="I99" s="219">
        <v>23</v>
      </c>
      <c r="J99" s="219">
        <v>22</v>
      </c>
      <c r="K99" s="219">
        <v>21</v>
      </c>
      <c r="L99" s="219">
        <v>23</v>
      </c>
      <c r="M99" s="219">
        <v>20</v>
      </c>
      <c r="N99" s="219">
        <v>22</v>
      </c>
      <c r="O99" s="224">
        <f>SUM(C99:N99)</f>
        <v>247</v>
      </c>
    </row>
    <row r="100" spans="1:15" s="61" customFormat="1" ht="25.5">
      <c r="A100" s="128"/>
      <c r="B100" s="206" t="s">
        <v>275</v>
      </c>
      <c r="C100" s="241">
        <f>$O$97*0.5/$O$99*C99</f>
        <v>137.65182186234819</v>
      </c>
      <c r="D100" s="241">
        <f aca="true" t="shared" si="1" ref="D100:N100">$O$97*0.5/$O$99*D99</f>
        <v>161.94331983805668</v>
      </c>
      <c r="E100" s="241">
        <f t="shared" si="1"/>
        <v>161.94331983805668</v>
      </c>
      <c r="F100" s="241">
        <f t="shared" si="1"/>
        <v>178.13765182186233</v>
      </c>
      <c r="G100" s="241">
        <f t="shared" si="1"/>
        <v>145.74898785425103</v>
      </c>
      <c r="H100" s="241">
        <f t="shared" si="1"/>
        <v>153.84615384615384</v>
      </c>
      <c r="I100" s="241">
        <f t="shared" si="1"/>
        <v>186.23481781376518</v>
      </c>
      <c r="J100" s="241">
        <f t="shared" si="1"/>
        <v>178.13765182186233</v>
      </c>
      <c r="K100" s="241">
        <f t="shared" si="1"/>
        <v>170.04048582995952</v>
      </c>
      <c r="L100" s="241">
        <f t="shared" si="1"/>
        <v>186.23481781376518</v>
      </c>
      <c r="M100" s="241">
        <f t="shared" si="1"/>
        <v>161.94331983805668</v>
      </c>
      <c r="N100" s="241">
        <f t="shared" si="1"/>
        <v>178.13765182186233</v>
      </c>
      <c r="O100" s="166">
        <f>SUM(C100:N100)</f>
        <v>2000</v>
      </c>
    </row>
    <row r="101" spans="1:15" s="61" customFormat="1" ht="12.75">
      <c r="A101" s="128"/>
      <c r="B101" s="67" t="s">
        <v>276</v>
      </c>
      <c r="C101" s="224">
        <f>C100</f>
        <v>137.65182186234819</v>
      </c>
      <c r="D101" s="224">
        <f aca="true" t="shared" si="2" ref="D101:N101">D100</f>
        <v>161.94331983805668</v>
      </c>
      <c r="E101" s="224">
        <f t="shared" si="2"/>
        <v>161.94331983805668</v>
      </c>
      <c r="F101" s="224">
        <f t="shared" si="2"/>
        <v>178.13765182186233</v>
      </c>
      <c r="G101" s="224">
        <f t="shared" si="2"/>
        <v>145.74898785425103</v>
      </c>
      <c r="H101" s="224">
        <f t="shared" si="2"/>
        <v>153.84615384615384</v>
      </c>
      <c r="I101" s="224">
        <f t="shared" si="2"/>
        <v>186.23481781376518</v>
      </c>
      <c r="J101" s="224">
        <f t="shared" si="2"/>
        <v>178.13765182186233</v>
      </c>
      <c r="K101" s="224">
        <f t="shared" si="2"/>
        <v>170.04048582995952</v>
      </c>
      <c r="L101" s="224">
        <f t="shared" si="2"/>
        <v>186.23481781376518</v>
      </c>
      <c r="M101" s="224">
        <f t="shared" si="2"/>
        <v>161.94331983805668</v>
      </c>
      <c r="N101" s="224">
        <f t="shared" si="2"/>
        <v>178.13765182186233</v>
      </c>
      <c r="O101" s="166">
        <f>SUM(C101:N101)</f>
        <v>2000</v>
      </c>
    </row>
    <row r="102" spans="1:15" s="61" customFormat="1" ht="25.5">
      <c r="A102" s="128"/>
      <c r="B102" s="67" t="s">
        <v>277</v>
      </c>
      <c r="C102" s="216">
        <v>8500</v>
      </c>
      <c r="D102" s="69">
        <f>C102</f>
        <v>8500</v>
      </c>
      <c r="E102" s="69">
        <f aca="true" t="shared" si="3" ref="E102:N103">D102</f>
        <v>8500</v>
      </c>
      <c r="F102" s="69">
        <f t="shared" si="3"/>
        <v>8500</v>
      </c>
      <c r="G102" s="69">
        <f t="shared" si="3"/>
        <v>8500</v>
      </c>
      <c r="H102" s="69">
        <f t="shared" si="3"/>
        <v>8500</v>
      </c>
      <c r="I102" s="69">
        <f t="shared" si="3"/>
        <v>8500</v>
      </c>
      <c r="J102" s="69">
        <f t="shared" si="3"/>
        <v>8500</v>
      </c>
      <c r="K102" s="69">
        <f t="shared" si="3"/>
        <v>8500</v>
      </c>
      <c r="L102" s="69">
        <f t="shared" si="3"/>
        <v>8500</v>
      </c>
      <c r="M102" s="69">
        <f t="shared" si="3"/>
        <v>8500</v>
      </c>
      <c r="N102" s="69">
        <f t="shared" si="3"/>
        <v>8500</v>
      </c>
      <c r="O102" s="239" t="s">
        <v>35</v>
      </c>
    </row>
    <row r="103" spans="1:15" s="61" customFormat="1" ht="12.75">
      <c r="A103" s="128"/>
      <c r="B103" s="67" t="s">
        <v>278</v>
      </c>
      <c r="C103" s="216">
        <f>900</f>
        <v>900</v>
      </c>
      <c r="D103" s="69">
        <f>C103</f>
        <v>900</v>
      </c>
      <c r="E103" s="69">
        <f t="shared" si="3"/>
        <v>900</v>
      </c>
      <c r="F103" s="69">
        <f t="shared" si="3"/>
        <v>900</v>
      </c>
      <c r="G103" s="69">
        <f t="shared" si="3"/>
        <v>900</v>
      </c>
      <c r="H103" s="69">
        <f t="shared" si="3"/>
        <v>900</v>
      </c>
      <c r="I103" s="69">
        <f t="shared" si="3"/>
        <v>900</v>
      </c>
      <c r="J103" s="69">
        <f t="shared" si="3"/>
        <v>900</v>
      </c>
      <c r="K103" s="69">
        <f t="shared" si="3"/>
        <v>900</v>
      </c>
      <c r="L103" s="69">
        <f t="shared" si="3"/>
        <v>900</v>
      </c>
      <c r="M103" s="69">
        <f t="shared" si="3"/>
        <v>900</v>
      </c>
      <c r="N103" s="69">
        <f t="shared" si="3"/>
        <v>900</v>
      </c>
      <c r="O103" s="239"/>
    </row>
    <row r="104" spans="1:15" s="61" customFormat="1" ht="12.75">
      <c r="A104" s="128"/>
      <c r="B104" s="67" t="s">
        <v>82</v>
      </c>
      <c r="C104" s="224">
        <f>(C100*C102+C101*C103)/1000</f>
        <v>1293.927125506073</v>
      </c>
      <c r="D104" s="224">
        <f aca="true" t="shared" si="4" ref="D104:N104">(D100*D102+D101*D103)/1000</f>
        <v>1522.2672064777325</v>
      </c>
      <c r="E104" s="224">
        <f t="shared" si="4"/>
        <v>1522.2672064777325</v>
      </c>
      <c r="F104" s="224">
        <f t="shared" si="4"/>
        <v>1674.493927125506</v>
      </c>
      <c r="G104" s="224">
        <f t="shared" si="4"/>
        <v>1370.0404858299596</v>
      </c>
      <c r="H104" s="224">
        <f t="shared" si="4"/>
        <v>1446.1538461538462</v>
      </c>
      <c r="I104" s="224">
        <f t="shared" si="4"/>
        <v>1750.6072874493927</v>
      </c>
      <c r="J104" s="224">
        <f t="shared" si="4"/>
        <v>1674.493927125506</v>
      </c>
      <c r="K104" s="224">
        <f t="shared" si="4"/>
        <v>1598.3805668016196</v>
      </c>
      <c r="L104" s="224">
        <f t="shared" si="4"/>
        <v>1750.6072874493927</v>
      </c>
      <c r="M104" s="224">
        <f t="shared" si="4"/>
        <v>1522.2672064777325</v>
      </c>
      <c r="N104" s="224">
        <f t="shared" si="4"/>
        <v>1674.493927125506</v>
      </c>
      <c r="O104" s="240">
        <f>SUM(C104:N104)</f>
        <v>18800</v>
      </c>
    </row>
    <row r="105" spans="1:15" s="61" customFormat="1" ht="12.75">
      <c r="A105" s="128"/>
      <c r="B105" s="158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7"/>
    </row>
    <row r="106" spans="1:86" s="46" customFormat="1" ht="12" customHeight="1">
      <c r="A106" s="203"/>
      <c r="B106" s="46" t="s">
        <v>83</v>
      </c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</row>
    <row r="107" ht="12.75">
      <c r="B107" s="52" t="s">
        <v>180</v>
      </c>
    </row>
    <row r="108" ht="12.75">
      <c r="B108" s="52"/>
    </row>
    <row r="109" spans="1:2" ht="17.25" customHeight="1">
      <c r="A109" s="128" t="s">
        <v>206</v>
      </c>
      <c r="B109" s="60" t="s">
        <v>293</v>
      </c>
    </row>
    <row r="110" spans="2:6" ht="28.5" customHeight="1">
      <c r="B110" s="237" t="s">
        <v>279</v>
      </c>
      <c r="C110" s="237" t="s">
        <v>280</v>
      </c>
      <c r="D110" s="237" t="s">
        <v>281</v>
      </c>
      <c r="E110" s="237" t="s">
        <v>282</v>
      </c>
      <c r="F110" s="237" t="s">
        <v>11</v>
      </c>
    </row>
    <row r="111" spans="2:6" ht="22.5" customHeight="1">
      <c r="B111" s="282" t="s">
        <v>289</v>
      </c>
      <c r="C111" s="282"/>
      <c r="D111" s="282"/>
      <c r="E111" s="282"/>
      <c r="F111" s="282"/>
    </row>
    <row r="112" spans="2:6" ht="17.25" customHeight="1">
      <c r="B112" s="67" t="s">
        <v>283</v>
      </c>
      <c r="C112" s="216">
        <v>7.82</v>
      </c>
      <c r="D112" s="216">
        <v>1.64</v>
      </c>
      <c r="E112" s="216">
        <v>1.02</v>
      </c>
      <c r="F112" s="216" t="s">
        <v>35</v>
      </c>
    </row>
    <row r="113" spans="2:6" ht="17.25" customHeight="1">
      <c r="B113" s="67" t="s">
        <v>284</v>
      </c>
      <c r="C113" s="216">
        <v>60</v>
      </c>
      <c r="D113" s="216">
        <v>57</v>
      </c>
      <c r="E113" s="216">
        <v>65</v>
      </c>
      <c r="F113" s="216" t="s">
        <v>35</v>
      </c>
    </row>
    <row r="114" spans="2:6" ht="17.25" customHeight="1">
      <c r="B114" s="67" t="s">
        <v>285</v>
      </c>
      <c r="C114" s="231">
        <f>C112*C113/1000</f>
        <v>0.46920000000000006</v>
      </c>
      <c r="D114" s="231">
        <f>D112*D113/1000</f>
        <v>0.09348</v>
      </c>
      <c r="E114" s="231">
        <f>E112*E113/1000</f>
        <v>0.0663</v>
      </c>
      <c r="F114" s="231">
        <f>SUM(C114:E114)</f>
        <v>0.6289800000000001</v>
      </c>
    </row>
    <row r="115" spans="2:6" ht="17.25" customHeight="1">
      <c r="B115" s="282" t="s">
        <v>286</v>
      </c>
      <c r="C115" s="282"/>
      <c r="D115" s="282"/>
      <c r="E115" s="282"/>
      <c r="F115" s="282"/>
    </row>
    <row r="116" spans="2:6" ht="17.25" customHeight="1">
      <c r="B116" s="67" t="s">
        <v>287</v>
      </c>
      <c r="C116" s="216"/>
      <c r="D116" s="216">
        <v>1.849</v>
      </c>
      <c r="E116" s="216">
        <v>0.104</v>
      </c>
      <c r="F116" s="216" t="s">
        <v>35</v>
      </c>
    </row>
    <row r="117" spans="2:6" ht="17.25" customHeight="1">
      <c r="B117" s="67" t="s">
        <v>284</v>
      </c>
      <c r="C117" s="216">
        <f>C113</f>
        <v>60</v>
      </c>
      <c r="D117" s="216">
        <f>D113</f>
        <v>57</v>
      </c>
      <c r="E117" s="216">
        <f>E113</f>
        <v>65</v>
      </c>
      <c r="F117" s="216" t="str">
        <f>F113</f>
        <v>х</v>
      </c>
    </row>
    <row r="118" spans="2:6" ht="18.75" customHeight="1">
      <c r="B118" s="67" t="s">
        <v>288</v>
      </c>
      <c r="C118" s="224">
        <f>C116*C117</f>
        <v>0</v>
      </c>
      <c r="D118" s="224">
        <f>D116*D117</f>
        <v>105.393</v>
      </c>
      <c r="E118" s="224">
        <f>E116*E117</f>
        <v>6.76</v>
      </c>
      <c r="F118" s="224">
        <f>SUM(C118:E118)</f>
        <v>112.153</v>
      </c>
    </row>
    <row r="119" spans="2:6" ht="17.25" customHeight="1">
      <c r="B119" s="282" t="s">
        <v>290</v>
      </c>
      <c r="C119" s="282"/>
      <c r="D119" s="282"/>
      <c r="E119" s="282"/>
      <c r="F119" s="282"/>
    </row>
    <row r="120" spans="2:6" ht="17.25" customHeight="1">
      <c r="B120" s="67" t="s">
        <v>287</v>
      </c>
      <c r="C120" s="216">
        <v>3.19</v>
      </c>
      <c r="D120" s="216">
        <v>0.08</v>
      </c>
      <c r="E120" s="216">
        <v>0.48</v>
      </c>
      <c r="F120" s="216" t="s">
        <v>35</v>
      </c>
    </row>
    <row r="121" spans="2:6" ht="17.25" customHeight="1">
      <c r="B121" s="67" t="s">
        <v>284</v>
      </c>
      <c r="C121" s="216">
        <f>C117</f>
        <v>60</v>
      </c>
      <c r="D121" s="216">
        <f>D117</f>
        <v>57</v>
      </c>
      <c r="E121" s="216">
        <f>E117</f>
        <v>65</v>
      </c>
      <c r="F121" s="216" t="str">
        <f>F117</f>
        <v>х</v>
      </c>
    </row>
    <row r="122" spans="2:6" ht="19.5" customHeight="1">
      <c r="B122" s="67" t="s">
        <v>288</v>
      </c>
      <c r="C122" s="224">
        <f>C120*C121</f>
        <v>191.4</v>
      </c>
      <c r="D122" s="224">
        <f>D120*D121</f>
        <v>4.5600000000000005</v>
      </c>
      <c r="E122" s="224">
        <f>E120*E121</f>
        <v>31.2</v>
      </c>
      <c r="F122" s="224">
        <f>SUM(C122:E122)</f>
        <v>227.16</v>
      </c>
    </row>
    <row r="123" spans="2:6" ht="18.75" customHeight="1">
      <c r="B123" s="67" t="s">
        <v>291</v>
      </c>
      <c r="C123" s="224">
        <f>(C114+C118+C122)*$O$97/1000</f>
        <v>767.4768</v>
      </c>
      <c r="D123" s="224">
        <f>(D114+D118+D122)*$O$97/1000</f>
        <v>440.18592</v>
      </c>
      <c r="E123" s="224">
        <f>(E114+E118+E122)*$O$97/1000</f>
        <v>152.1052</v>
      </c>
      <c r="F123" s="224">
        <f>SUM(C123:E123)</f>
        <v>1359.76792</v>
      </c>
    </row>
    <row r="124" ht="17.25" customHeight="1">
      <c r="B124" s="60"/>
    </row>
    <row r="125" spans="1:2" ht="17.25" customHeight="1">
      <c r="A125" s="128" t="s">
        <v>207</v>
      </c>
      <c r="B125" s="60" t="s">
        <v>330</v>
      </c>
    </row>
    <row r="126" spans="2:3" ht="28.5" customHeight="1">
      <c r="B126" s="209" t="s">
        <v>2</v>
      </c>
      <c r="C126" s="66" t="s">
        <v>189</v>
      </c>
    </row>
    <row r="127" spans="2:3" ht="27" customHeight="1">
      <c r="B127" s="67" t="s">
        <v>312</v>
      </c>
      <c r="C127" s="224">
        <f>600</f>
        <v>600</v>
      </c>
    </row>
    <row r="128" spans="2:3" ht="17.25" customHeight="1">
      <c r="B128" s="67" t="s">
        <v>313</v>
      </c>
      <c r="C128" s="224">
        <f>C127*(C51+C52)*O95/1000</f>
        <v>622.8</v>
      </c>
    </row>
    <row r="129" ht="17.25" customHeight="1">
      <c r="B129" s="60"/>
    </row>
    <row r="130" spans="1:2" ht="15">
      <c r="A130" s="128" t="s">
        <v>208</v>
      </c>
      <c r="B130" s="60" t="s">
        <v>331</v>
      </c>
    </row>
    <row r="131" spans="2:4" ht="30.75" customHeight="1">
      <c r="B131" s="209" t="s">
        <v>2</v>
      </c>
      <c r="C131" s="66" t="s">
        <v>239</v>
      </c>
      <c r="D131" s="158"/>
    </row>
    <row r="132" spans="2:3" ht="12.75">
      <c r="B132" s="67" t="s">
        <v>295</v>
      </c>
      <c r="C132" s="224">
        <f>((F51+F52)*4+(F51+F52)*0.5*3)/1000</f>
        <v>1933.47</v>
      </c>
    </row>
    <row r="133" spans="2:3" ht="12.75">
      <c r="B133" s="67" t="s">
        <v>296</v>
      </c>
      <c r="C133" s="224">
        <f>((F48+F49+F53+F54)*12)/1000</f>
        <v>3966</v>
      </c>
    </row>
    <row r="134" spans="2:3" ht="12.75">
      <c r="B134" s="67" t="s">
        <v>11</v>
      </c>
      <c r="C134" s="90">
        <f>SUM(C132:C133)</f>
        <v>5899.47</v>
      </c>
    </row>
    <row r="135" ht="12.75"/>
    <row r="136" spans="1:2" ht="15">
      <c r="A136" s="128" t="s">
        <v>209</v>
      </c>
      <c r="B136" s="60" t="s">
        <v>322</v>
      </c>
    </row>
    <row r="137" spans="2:3" ht="12.75" customHeight="1">
      <c r="B137" s="192" t="s">
        <v>2</v>
      </c>
      <c r="C137" s="192" t="s">
        <v>84</v>
      </c>
    </row>
    <row r="138" spans="2:3" ht="25.5">
      <c r="B138" s="67" t="s">
        <v>297</v>
      </c>
      <c r="C138" s="239">
        <f>O97</f>
        <v>4000</v>
      </c>
    </row>
    <row r="139" spans="2:3" ht="15.75" customHeight="1">
      <c r="B139" s="67" t="s">
        <v>298</v>
      </c>
      <c r="C139" s="247">
        <v>13</v>
      </c>
    </row>
    <row r="140" spans="2:3" ht="14.25" customHeight="1">
      <c r="B140" s="67" t="s">
        <v>299</v>
      </c>
      <c r="C140" s="247">
        <v>8</v>
      </c>
    </row>
    <row r="141" spans="2:3" ht="25.5">
      <c r="B141" s="67" t="s">
        <v>300</v>
      </c>
      <c r="C141" s="240">
        <f>O99</f>
        <v>247</v>
      </c>
    </row>
    <row r="142" spans="2:3" ht="16.5" customHeight="1">
      <c r="B142" s="67" t="s">
        <v>301</v>
      </c>
      <c r="C142" s="239">
        <f>C139*C140*C141</f>
        <v>25688</v>
      </c>
    </row>
    <row r="143" spans="1:3" s="52" customFormat="1" ht="25.5">
      <c r="A143" s="198"/>
      <c r="B143" s="67" t="s">
        <v>302</v>
      </c>
      <c r="C143" s="248">
        <f>C142/C138</f>
        <v>6.422</v>
      </c>
    </row>
    <row r="144" spans="1:3" s="52" customFormat="1" ht="16.5" customHeight="1">
      <c r="A144" s="198"/>
      <c r="B144" s="67" t="s">
        <v>303</v>
      </c>
      <c r="C144" s="247">
        <v>4.36</v>
      </c>
    </row>
    <row r="145" spans="1:3" s="52" customFormat="1" ht="25.5">
      <c r="A145" s="198"/>
      <c r="B145" s="67" t="s">
        <v>304</v>
      </c>
      <c r="C145" s="240">
        <f>C143*C144</f>
        <v>27.99992</v>
      </c>
    </row>
    <row r="146" spans="1:3" s="52" customFormat="1" ht="25.5">
      <c r="A146" s="198"/>
      <c r="B146" s="67" t="s">
        <v>305</v>
      </c>
      <c r="C146" s="240">
        <f>C145*C138/1000</f>
        <v>111.99968</v>
      </c>
    </row>
    <row r="147" ht="12.75"/>
    <row r="148" spans="1:2" ht="15" hidden="1">
      <c r="A148" s="128" t="s">
        <v>212</v>
      </c>
      <c r="B148" s="63" t="s">
        <v>241</v>
      </c>
    </row>
    <row r="149" spans="2:9" ht="15" hidden="1">
      <c r="B149" s="256" t="s">
        <v>85</v>
      </c>
      <c r="C149" s="256"/>
      <c r="D149" s="256"/>
      <c r="E149" s="256"/>
      <c r="F149" s="113"/>
      <c r="G149" s="74"/>
      <c r="H149" s="74"/>
      <c r="I149" s="74"/>
    </row>
    <row r="150" spans="2:9" ht="15" hidden="1">
      <c r="B150" s="267" t="s">
        <v>240</v>
      </c>
      <c r="C150" s="267"/>
      <c r="D150" s="267"/>
      <c r="E150" s="75"/>
      <c r="F150" s="113"/>
      <c r="G150" s="74"/>
      <c r="H150" s="74"/>
      <c r="I150" s="74"/>
    </row>
    <row r="151" spans="2:9" ht="15" hidden="1">
      <c r="B151" s="267" t="s">
        <v>86</v>
      </c>
      <c r="C151" s="267"/>
      <c r="D151" s="267"/>
      <c r="E151" s="75"/>
      <c r="F151" s="113"/>
      <c r="G151" s="74"/>
      <c r="H151" s="74"/>
      <c r="I151" s="74"/>
    </row>
    <row r="152" spans="2:9" ht="15" hidden="1">
      <c r="B152" s="267" t="s">
        <v>87</v>
      </c>
      <c r="C152" s="267"/>
      <c r="D152" s="267"/>
      <c r="E152" s="70">
        <v>57.07</v>
      </c>
      <c r="F152" s="113"/>
      <c r="G152" s="74"/>
      <c r="H152" s="74"/>
      <c r="I152" s="74"/>
    </row>
    <row r="153" spans="2:9" ht="15" hidden="1">
      <c r="B153" s="270" t="s">
        <v>88</v>
      </c>
      <c r="C153" s="270"/>
      <c r="D153" s="270"/>
      <c r="E153" s="76">
        <v>38.51</v>
      </c>
      <c r="F153" s="114"/>
      <c r="G153" s="115"/>
      <c r="H153" s="115"/>
      <c r="I153" s="115"/>
    </row>
    <row r="154" spans="2:9" ht="31.5" customHeight="1" hidden="1">
      <c r="B154" s="256" t="s">
        <v>89</v>
      </c>
      <c r="C154" s="256" t="s">
        <v>90</v>
      </c>
      <c r="D154" s="256"/>
      <c r="E154" s="256"/>
      <c r="F154" s="256" t="s">
        <v>91</v>
      </c>
      <c r="G154" s="256"/>
      <c r="H154" s="256" t="s">
        <v>92</v>
      </c>
      <c r="I154" s="256"/>
    </row>
    <row r="155" spans="2:9" ht="30" hidden="1">
      <c r="B155" s="256"/>
      <c r="C155" s="70" t="s">
        <v>93</v>
      </c>
      <c r="D155" s="256" t="s">
        <v>94</v>
      </c>
      <c r="E155" s="256"/>
      <c r="F155" s="70" t="s">
        <v>93</v>
      </c>
      <c r="G155" s="70" t="s">
        <v>95</v>
      </c>
      <c r="H155" s="70" t="s">
        <v>93</v>
      </c>
      <c r="I155" s="70" t="s">
        <v>95</v>
      </c>
    </row>
    <row r="156" spans="2:9" ht="15" hidden="1">
      <c r="B156" s="71" t="s">
        <v>242</v>
      </c>
      <c r="C156" s="70"/>
      <c r="D156" s="256"/>
      <c r="E156" s="256"/>
      <c r="F156" s="79"/>
      <c r="G156" s="79"/>
      <c r="H156" s="81">
        <f>F156*$E$152/1000</f>
        <v>0</v>
      </c>
      <c r="I156" s="81">
        <f>G156*$E$153/1000</f>
        <v>0</v>
      </c>
    </row>
    <row r="157" spans="2:9" ht="15" hidden="1">
      <c r="B157" s="71" t="s">
        <v>96</v>
      </c>
      <c r="C157" s="256" t="s">
        <v>97</v>
      </c>
      <c r="D157" s="256"/>
      <c r="E157" s="256"/>
      <c r="F157" s="79">
        <f>0.0025*E151*O93</f>
        <v>0</v>
      </c>
      <c r="G157" s="79">
        <f>0.0025*E151*O93</f>
        <v>0</v>
      </c>
      <c r="H157" s="81">
        <f>F157*$E$152/1000</f>
        <v>0</v>
      </c>
      <c r="I157" s="81">
        <f>G157*$E$153/1000</f>
        <v>0</v>
      </c>
    </row>
    <row r="158" spans="2:9" ht="15" hidden="1">
      <c r="B158" s="269" t="s">
        <v>11</v>
      </c>
      <c r="C158" s="269"/>
      <c r="D158" s="269"/>
      <c r="E158" s="269"/>
      <c r="F158" s="80">
        <f>SUM(F156:F157)</f>
        <v>0</v>
      </c>
      <c r="G158" s="80">
        <f>SUM(G156:G157)</f>
        <v>0</v>
      </c>
      <c r="H158" s="80">
        <f>SUM(H156:H157)</f>
        <v>0</v>
      </c>
      <c r="I158" s="80">
        <f>SUM(I156:I157)</f>
        <v>0</v>
      </c>
    </row>
    <row r="159" ht="12.75" hidden="1"/>
    <row r="160" spans="1:2" ht="15">
      <c r="A160" s="128" t="s">
        <v>243</v>
      </c>
      <c r="B160" s="63" t="s">
        <v>332</v>
      </c>
    </row>
    <row r="161" spans="2:9" ht="60">
      <c r="B161" s="70" t="s">
        <v>98</v>
      </c>
      <c r="C161" s="70" t="s">
        <v>3</v>
      </c>
      <c r="D161" s="70" t="s">
        <v>99</v>
      </c>
      <c r="E161" s="70" t="s">
        <v>100</v>
      </c>
      <c r="F161" s="70" t="s">
        <v>101</v>
      </c>
      <c r="G161" s="70" t="s">
        <v>102</v>
      </c>
      <c r="H161" s="70" t="s">
        <v>103</v>
      </c>
      <c r="I161" s="70" t="s">
        <v>92</v>
      </c>
    </row>
    <row r="162" spans="2:11" ht="15">
      <c r="B162" s="77" t="s">
        <v>307</v>
      </c>
      <c r="C162" s="70" t="s">
        <v>308</v>
      </c>
      <c r="D162" s="70">
        <v>0.5616</v>
      </c>
      <c r="E162" s="70">
        <v>1.04</v>
      </c>
      <c r="F162" s="220">
        <f>D167</f>
        <v>200</v>
      </c>
      <c r="G162" s="83">
        <f>D162*E162*F162</f>
        <v>116.81280000000001</v>
      </c>
      <c r="H162" s="75">
        <v>1930</v>
      </c>
      <c r="I162" s="83">
        <f>G162*H162/1000</f>
        <v>225.44870400000002</v>
      </c>
      <c r="K162" s="82"/>
    </row>
    <row r="163" spans="2:11" ht="15">
      <c r="B163" s="267" t="s">
        <v>104</v>
      </c>
      <c r="C163" s="267"/>
      <c r="D163" s="267"/>
      <c r="E163" s="267"/>
      <c r="F163" s="267"/>
      <c r="G163" s="267"/>
      <c r="H163" s="267"/>
      <c r="I163" s="267"/>
      <c r="K163" s="82"/>
    </row>
    <row r="164" ht="12.75"/>
    <row r="165" spans="1:2" ht="15">
      <c r="A165" s="128" t="s">
        <v>320</v>
      </c>
      <c r="B165" s="63" t="s">
        <v>333</v>
      </c>
    </row>
    <row r="166" spans="2:5" ht="45">
      <c r="B166" s="70" t="s">
        <v>105</v>
      </c>
      <c r="C166" s="70" t="s">
        <v>101</v>
      </c>
      <c r="D166" s="70" t="s">
        <v>106</v>
      </c>
      <c r="E166" s="70" t="s">
        <v>92</v>
      </c>
    </row>
    <row r="167" spans="2:5" ht="30">
      <c r="B167" s="77" t="s">
        <v>306</v>
      </c>
      <c r="C167" s="229">
        <v>160</v>
      </c>
      <c r="D167" s="210">
        <v>200</v>
      </c>
      <c r="E167" s="229">
        <f>D167*C167/1000*12</f>
        <v>384</v>
      </c>
    </row>
    <row r="168" ht="12.75"/>
    <row r="169" spans="1:2" ht="15">
      <c r="A169" s="128" t="s">
        <v>212</v>
      </c>
      <c r="B169" s="63" t="s">
        <v>334</v>
      </c>
    </row>
    <row r="170" spans="2:6" ht="60">
      <c r="B170" s="70" t="s">
        <v>107</v>
      </c>
      <c r="C170" s="70" t="s">
        <v>108</v>
      </c>
      <c r="D170" s="70" t="s">
        <v>109</v>
      </c>
      <c r="E170" s="70" t="s">
        <v>110</v>
      </c>
      <c r="F170" s="70" t="s">
        <v>111</v>
      </c>
    </row>
    <row r="171" spans="2:6" ht="15">
      <c r="B171" s="77" t="s">
        <v>112</v>
      </c>
      <c r="C171" s="210">
        <v>30</v>
      </c>
      <c r="D171" s="226">
        <f>1/C171</f>
        <v>0.03333333333333333</v>
      </c>
      <c r="E171" s="80">
        <v>0</v>
      </c>
      <c r="F171" s="227">
        <f>D171*E171</f>
        <v>0</v>
      </c>
    </row>
    <row r="172" spans="2:6" ht="15">
      <c r="B172" s="77" t="s">
        <v>113</v>
      </c>
      <c r="C172" s="210">
        <v>7</v>
      </c>
      <c r="D172" s="226">
        <f>1/C172</f>
        <v>0.14285714285714285</v>
      </c>
      <c r="E172" s="80">
        <f>E68+E71+E81</f>
        <v>22380.8</v>
      </c>
      <c r="F172" s="227">
        <f>D172*E172</f>
        <v>3197.2571428571428</v>
      </c>
    </row>
    <row r="173" spans="2:6" ht="15" hidden="1">
      <c r="B173" s="77"/>
      <c r="C173" s="210"/>
      <c r="D173" s="226"/>
      <c r="E173" s="80"/>
      <c r="F173" s="227"/>
    </row>
    <row r="174" spans="2:6" ht="15">
      <c r="B174" s="77" t="s">
        <v>233</v>
      </c>
      <c r="C174" s="210">
        <v>1</v>
      </c>
      <c r="D174" s="226">
        <f>1/C174</f>
        <v>1</v>
      </c>
      <c r="E174" s="80">
        <f>E73</f>
        <v>36</v>
      </c>
      <c r="F174" s="227">
        <f>D174*E174</f>
        <v>36</v>
      </c>
    </row>
    <row r="175" spans="2:6" ht="15" hidden="1">
      <c r="B175" s="77" t="s">
        <v>234</v>
      </c>
      <c r="C175" s="70">
        <v>2</v>
      </c>
      <c r="D175" s="86">
        <f>1/C175</f>
        <v>0.5</v>
      </c>
      <c r="E175" s="84"/>
      <c r="F175" s="85">
        <f>D175*E175</f>
        <v>0</v>
      </c>
    </row>
    <row r="176" spans="2:6" ht="15">
      <c r="B176" s="261" t="s">
        <v>11</v>
      </c>
      <c r="C176" s="262"/>
      <c r="D176" s="263"/>
      <c r="E176" s="228">
        <f>SUM(E171:E175)</f>
        <v>22416.8</v>
      </c>
      <c r="F176" s="227">
        <f>SUM(F171:F175)</f>
        <v>3233.2571428571428</v>
      </c>
    </row>
    <row r="177" spans="2:6" ht="15">
      <c r="B177" s="78"/>
      <c r="C177" s="78"/>
      <c r="D177" s="78"/>
      <c r="E177" s="205"/>
      <c r="F177" s="87"/>
    </row>
    <row r="178" spans="1:2" ht="15">
      <c r="A178" s="128" t="s">
        <v>321</v>
      </c>
      <c r="B178" s="60" t="s">
        <v>335</v>
      </c>
    </row>
    <row r="179" spans="2:3" ht="38.25">
      <c r="B179" s="66" t="s">
        <v>105</v>
      </c>
      <c r="C179" s="66" t="s">
        <v>114</v>
      </c>
    </row>
    <row r="180" spans="2:3" ht="25.5">
      <c r="B180" s="206" t="s">
        <v>310</v>
      </c>
      <c r="C180" s="216">
        <v>188</v>
      </c>
    </row>
    <row r="181" spans="2:3" ht="25.5">
      <c r="B181" s="67" t="s">
        <v>311</v>
      </c>
      <c r="C181" s="68">
        <f>(E64+E65+E66)*D172*0.2</f>
        <v>252.7142857142857</v>
      </c>
    </row>
    <row r="182" spans="2:3" ht="38.25">
      <c r="B182" s="67" t="s">
        <v>115</v>
      </c>
      <c r="C182" s="216">
        <f>4*12</f>
        <v>48</v>
      </c>
    </row>
    <row r="183" spans="2:3" ht="38.25">
      <c r="B183" s="67" t="s">
        <v>211</v>
      </c>
      <c r="C183" s="225">
        <f>O104*0.005</f>
        <v>94</v>
      </c>
    </row>
    <row r="184" spans="2:3" ht="12.75">
      <c r="B184" s="67" t="s">
        <v>11</v>
      </c>
      <c r="C184" s="224">
        <f>SUM(C180:C183)</f>
        <v>582.7142857142857</v>
      </c>
    </row>
    <row r="185" ht="12.75"/>
    <row r="186" spans="1:2" ht="12.75">
      <c r="A186" s="128" t="s">
        <v>213</v>
      </c>
      <c r="B186" s="61" t="s">
        <v>336</v>
      </c>
    </row>
    <row r="187" spans="2:4" ht="20.25" customHeight="1">
      <c r="B187" s="271" t="s">
        <v>105</v>
      </c>
      <c r="C187" s="259" t="s">
        <v>116</v>
      </c>
      <c r="D187" s="260"/>
    </row>
    <row r="188" spans="2:4" ht="25.5">
      <c r="B188" s="272"/>
      <c r="C188" s="66" t="s">
        <v>8</v>
      </c>
      <c r="D188" s="66" t="s">
        <v>244</v>
      </c>
    </row>
    <row r="189" spans="2:4" ht="12.75">
      <c r="B189" s="67" t="s">
        <v>292</v>
      </c>
      <c r="C189" s="90">
        <f>F123</f>
        <v>1359.76792</v>
      </c>
      <c r="D189" s="231">
        <f aca="true" t="shared" si="5" ref="D189:D199">C189/$C$200*100</f>
        <v>10.948689945083954</v>
      </c>
    </row>
    <row r="190" spans="2:4" ht="12.75">
      <c r="B190" s="67" t="s">
        <v>314</v>
      </c>
      <c r="C190" s="90">
        <f>C128</f>
        <v>622.8</v>
      </c>
      <c r="D190" s="231">
        <f t="shared" si="5"/>
        <v>5.01471170006591</v>
      </c>
    </row>
    <row r="191" spans="2:4" ht="12.75">
      <c r="B191" s="67" t="s">
        <v>117</v>
      </c>
      <c r="C191" s="90">
        <f>C192+C193</f>
        <v>5899.47</v>
      </c>
      <c r="D191" s="231">
        <f t="shared" si="5"/>
        <v>47.50183242323031</v>
      </c>
    </row>
    <row r="192" spans="2:4" ht="12.75">
      <c r="B192" s="216" t="str">
        <f>B132</f>
        <v>Сезонные рабочие</v>
      </c>
      <c r="C192" s="90">
        <f>C132</f>
        <v>1933.47</v>
      </c>
      <c r="D192" s="231">
        <f t="shared" si="5"/>
        <v>15.568071019149704</v>
      </c>
    </row>
    <row r="193" spans="2:4" ht="12.75">
      <c r="B193" s="216" t="str">
        <f>B133</f>
        <v>Постоянный персонал</v>
      </c>
      <c r="C193" s="90">
        <f>C133</f>
        <v>3966</v>
      </c>
      <c r="D193" s="231">
        <f t="shared" si="5"/>
        <v>31.933761404080606</v>
      </c>
    </row>
    <row r="194" spans="2:4" ht="12.75">
      <c r="B194" s="67" t="s">
        <v>118</v>
      </c>
      <c r="C194" s="224">
        <f>C146</f>
        <v>111.99968</v>
      </c>
      <c r="D194" s="231">
        <f t="shared" si="5"/>
        <v>0.9018081337502214</v>
      </c>
    </row>
    <row r="195" spans="2:4" ht="12.75" hidden="1">
      <c r="B195" s="67" t="s">
        <v>119</v>
      </c>
      <c r="C195" s="224">
        <f>H158+I158</f>
        <v>0</v>
      </c>
      <c r="D195" s="231">
        <f t="shared" si="5"/>
        <v>0</v>
      </c>
    </row>
    <row r="196" spans="2:4" ht="12.75">
      <c r="B196" s="67" t="s">
        <v>120</v>
      </c>
      <c r="C196" s="224">
        <f>I162</f>
        <v>225.44870400000002</v>
      </c>
      <c r="D196" s="231">
        <f t="shared" si="5"/>
        <v>1.8152862134128072</v>
      </c>
    </row>
    <row r="197" spans="2:4" ht="14.25" customHeight="1">
      <c r="B197" s="67" t="s">
        <v>121</v>
      </c>
      <c r="C197" s="224">
        <f>E167</f>
        <v>384</v>
      </c>
      <c r="D197" s="231">
        <f t="shared" si="5"/>
        <v>3.0919224354934323</v>
      </c>
    </row>
    <row r="198" spans="2:4" ht="12.75">
      <c r="B198" s="67" t="s">
        <v>31</v>
      </c>
      <c r="C198" s="224">
        <f>F176</f>
        <v>3233.2571428571428</v>
      </c>
      <c r="D198" s="231">
        <f t="shared" si="5"/>
        <v>26.03380286385259</v>
      </c>
    </row>
    <row r="199" spans="2:7" ht="12.75">
      <c r="B199" s="67" t="s">
        <v>122</v>
      </c>
      <c r="C199" s="224">
        <f>C184</f>
        <v>582.7142857142857</v>
      </c>
      <c r="D199" s="231">
        <f t="shared" si="5"/>
        <v>4.691946285110755</v>
      </c>
      <c r="F199" s="251" t="s">
        <v>315</v>
      </c>
      <c r="G199" s="251" t="s">
        <v>316</v>
      </c>
    </row>
    <row r="200" spans="2:7" ht="12.75">
      <c r="B200" s="67" t="s">
        <v>11</v>
      </c>
      <c r="C200" s="224">
        <f>SUM(C189:C199)-C191</f>
        <v>12419.45773257143</v>
      </c>
      <c r="D200" s="231">
        <f>SUM(D189:D199)-D191</f>
        <v>99.99999999999999</v>
      </c>
      <c r="F200" s="250">
        <f>O104-C200</f>
        <v>6380.542267428569</v>
      </c>
      <c r="G200" s="250">
        <f>F200/O104*100</f>
        <v>33.93905461398175</v>
      </c>
    </row>
    <row r="201" ht="12.75"/>
    <row r="202" spans="1:86" s="46" customFormat="1" ht="12" customHeight="1">
      <c r="A202" s="203"/>
      <c r="B202" s="46" t="s">
        <v>123</v>
      </c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  <c r="AL202" s="99"/>
      <c r="AM202" s="99"/>
      <c r="AN202" s="99"/>
      <c r="AO202" s="99"/>
      <c r="AP202" s="99"/>
      <c r="AQ202" s="99"/>
      <c r="AR202" s="99"/>
      <c r="AS202" s="99"/>
      <c r="AT202" s="99"/>
      <c r="AU202" s="99"/>
      <c r="AV202" s="99"/>
      <c r="AW202" s="99"/>
      <c r="AX202" s="99"/>
      <c r="AY202" s="99"/>
      <c r="AZ202" s="99"/>
      <c r="BA202" s="99"/>
      <c r="BB202" s="99"/>
      <c r="BC202" s="99"/>
      <c r="BD202" s="99"/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99"/>
      <c r="BP202" s="99"/>
      <c r="BQ202" s="99"/>
      <c r="BR202" s="99"/>
      <c r="BS202" s="99"/>
      <c r="BT202" s="99"/>
      <c r="BU202" s="99"/>
      <c r="BV202" s="99"/>
      <c r="BW202" s="99"/>
      <c r="BX202" s="99"/>
      <c r="BY202" s="99"/>
      <c r="BZ202" s="99"/>
      <c r="CA202" s="99"/>
      <c r="CB202" s="99"/>
      <c r="CC202" s="99"/>
      <c r="CD202" s="99"/>
      <c r="CE202" s="99"/>
      <c r="CF202" s="99"/>
      <c r="CG202" s="99"/>
      <c r="CH202" s="99"/>
    </row>
    <row r="203" ht="12.75">
      <c r="B203" s="52" t="s">
        <v>73</v>
      </c>
    </row>
    <row r="204" ht="12.75">
      <c r="B204" s="52"/>
    </row>
    <row r="205" spans="1:2" ht="17.25" customHeight="1">
      <c r="A205" s="128" t="s">
        <v>214</v>
      </c>
      <c r="B205" s="60" t="s">
        <v>337</v>
      </c>
    </row>
    <row r="206" spans="2:7" ht="12.75">
      <c r="B206" s="72" t="s">
        <v>235</v>
      </c>
      <c r="C206" s="72" t="s">
        <v>37</v>
      </c>
      <c r="D206" s="72" t="s">
        <v>4</v>
      </c>
      <c r="E206" s="72" t="s">
        <v>38</v>
      </c>
      <c r="F206" s="72" t="s">
        <v>36</v>
      </c>
      <c r="G206" s="72" t="s">
        <v>11</v>
      </c>
    </row>
    <row r="207" spans="2:7" ht="12.75">
      <c r="B207" s="89" t="s">
        <v>125</v>
      </c>
      <c r="C207" s="72"/>
      <c r="D207" s="72"/>
      <c r="E207" s="72"/>
      <c r="F207" s="72"/>
      <c r="G207" s="72"/>
    </row>
    <row r="208" spans="2:7" ht="12.75">
      <c r="B208" s="89" t="s">
        <v>127</v>
      </c>
      <c r="C208" s="72"/>
      <c r="D208" s="72"/>
      <c r="E208" s="72"/>
      <c r="F208" s="72"/>
      <c r="G208" s="207">
        <f>(O104-C200-G247)*0.1</f>
        <v>459.00782674285693</v>
      </c>
    </row>
    <row r="209" spans="2:7" ht="12.75">
      <c r="B209" s="89" t="s">
        <v>126</v>
      </c>
      <c r="C209" s="208"/>
      <c r="D209" s="207"/>
      <c r="E209" s="207"/>
      <c r="F209" s="207"/>
      <c r="G209" s="207">
        <f>SUM(C209:F209)</f>
        <v>0</v>
      </c>
    </row>
    <row r="210" spans="2:7" ht="12.75">
      <c r="B210" s="73" t="s">
        <v>124</v>
      </c>
      <c r="C210" s="88"/>
      <c r="D210" s="73"/>
      <c r="E210" s="73"/>
      <c r="F210" s="88"/>
      <c r="G210" s="88"/>
    </row>
    <row r="211" ht="12.75"/>
    <row r="212" spans="1:86" s="46" customFormat="1" ht="12" customHeight="1">
      <c r="A212" s="203"/>
      <c r="B212" s="46" t="s">
        <v>135</v>
      </c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  <c r="AL212" s="99"/>
      <c r="AM212" s="99"/>
      <c r="AN212" s="99"/>
      <c r="AO212" s="99"/>
      <c r="AP212" s="99"/>
      <c r="AQ212" s="99"/>
      <c r="AR212" s="99"/>
      <c r="AS212" s="99"/>
      <c r="AT212" s="99"/>
      <c r="AU212" s="99"/>
      <c r="AV212" s="99"/>
      <c r="AW212" s="99"/>
      <c r="AX212" s="99"/>
      <c r="AY212" s="99"/>
      <c r="AZ212" s="99"/>
      <c r="BA212" s="99"/>
      <c r="BB212" s="99"/>
      <c r="BC212" s="99"/>
      <c r="BD212" s="99"/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99"/>
      <c r="BP212" s="99"/>
      <c r="BQ212" s="99"/>
      <c r="BR212" s="99"/>
      <c r="BS212" s="99"/>
      <c r="BT212" s="99"/>
      <c r="BU212" s="99"/>
      <c r="BV212" s="9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</row>
    <row r="213" ht="12.75">
      <c r="B213" s="52" t="s">
        <v>180</v>
      </c>
    </row>
    <row r="214" ht="12.75">
      <c r="B214" s="52"/>
    </row>
    <row r="215" spans="1:2" ht="15">
      <c r="A215" s="128" t="s">
        <v>215</v>
      </c>
      <c r="B215" s="63" t="s">
        <v>324</v>
      </c>
    </row>
    <row r="216" spans="2:3" ht="25.5">
      <c r="B216" s="72" t="s">
        <v>131</v>
      </c>
      <c r="C216" s="72" t="s">
        <v>78</v>
      </c>
    </row>
    <row r="217" spans="2:3" ht="30" customHeight="1">
      <c r="B217" s="89" t="s">
        <v>327</v>
      </c>
      <c r="C217" s="93">
        <f>C218+C219+C220</f>
        <v>22380.8</v>
      </c>
    </row>
    <row r="218" spans="1:3" s="52" customFormat="1" ht="25.5">
      <c r="A218" s="198"/>
      <c r="B218" s="96" t="s">
        <v>132</v>
      </c>
      <c r="C218" s="97">
        <v>5000</v>
      </c>
    </row>
    <row r="219" spans="1:3" s="52" customFormat="1" ht="25.5">
      <c r="A219" s="198"/>
      <c r="B219" s="96" t="s">
        <v>328</v>
      </c>
      <c r="C219" s="97">
        <f>C235-C221-C218</f>
        <v>17380.8</v>
      </c>
    </row>
    <row r="220" spans="1:3" s="52" customFormat="1" ht="25.5">
      <c r="A220" s="198"/>
      <c r="B220" s="96" t="s">
        <v>133</v>
      </c>
      <c r="C220" s="97">
        <v>0</v>
      </c>
    </row>
    <row r="221" spans="1:3" s="52" customFormat="1" ht="20.25" customHeight="1">
      <c r="A221" s="198"/>
      <c r="B221" s="89" t="s">
        <v>140</v>
      </c>
      <c r="C221" s="93">
        <f>C222+C223</f>
        <v>299.3582256</v>
      </c>
    </row>
    <row r="222" spans="1:3" s="52" customFormat="1" ht="12.75">
      <c r="A222" s="198"/>
      <c r="B222" s="96" t="s">
        <v>134</v>
      </c>
      <c r="C222" s="97">
        <f>C233</f>
        <v>299.3582256</v>
      </c>
    </row>
    <row r="223" spans="1:3" s="52" customFormat="1" ht="12.75">
      <c r="A223" s="198"/>
      <c r="B223" s="96" t="s">
        <v>141</v>
      </c>
      <c r="C223" s="97"/>
    </row>
    <row r="224" spans="1:3" s="52" customFormat="1" ht="12.75">
      <c r="A224" s="198"/>
      <c r="B224" s="73" t="s">
        <v>11</v>
      </c>
      <c r="C224" s="93">
        <f>C221+C217</f>
        <v>22680.1582256</v>
      </c>
    </row>
    <row r="225" ht="12.75">
      <c r="B225" s="52"/>
    </row>
    <row r="226" spans="1:2" s="60" customFormat="1" ht="15">
      <c r="A226" s="151" t="s">
        <v>216</v>
      </c>
      <c r="B226" s="60" t="s">
        <v>325</v>
      </c>
    </row>
    <row r="227" spans="2:4" ht="38.25">
      <c r="B227" s="66" t="s">
        <v>105</v>
      </c>
      <c r="C227" s="66" t="s">
        <v>78</v>
      </c>
      <c r="D227" s="66" t="s">
        <v>128</v>
      </c>
    </row>
    <row r="228" spans="2:4" ht="12.75">
      <c r="B228" s="67" t="s">
        <v>129</v>
      </c>
      <c r="C228" s="90">
        <f>E175</f>
        <v>0</v>
      </c>
      <c r="D228" s="90">
        <f aca="true" t="shared" si="6" ref="D228:D234">C228/$C$235*100</f>
        <v>0</v>
      </c>
    </row>
    <row r="229" spans="2:4" ht="12.75">
      <c r="B229" s="67" t="s">
        <v>130</v>
      </c>
      <c r="C229" s="90">
        <f>C230+C231+C232</f>
        <v>22380.8</v>
      </c>
      <c r="D229" s="90">
        <f t="shared" si="6"/>
        <v>98.68008757865674</v>
      </c>
    </row>
    <row r="230" spans="1:4" s="52" customFormat="1" ht="12.75">
      <c r="A230" s="198"/>
      <c r="B230" s="91" t="s">
        <v>112</v>
      </c>
      <c r="C230" s="92">
        <f>0</f>
        <v>0</v>
      </c>
      <c r="D230" s="92">
        <f t="shared" si="6"/>
        <v>0</v>
      </c>
    </row>
    <row r="231" spans="1:4" s="52" customFormat="1" ht="12.75">
      <c r="A231" s="198"/>
      <c r="B231" s="91" t="s">
        <v>113</v>
      </c>
      <c r="C231" s="92">
        <f>E172</f>
        <v>22380.8</v>
      </c>
      <c r="D231" s="92">
        <f t="shared" si="6"/>
        <v>98.68008757865674</v>
      </c>
    </row>
    <row r="232" spans="1:4" s="52" customFormat="1" ht="12.75" hidden="1">
      <c r="A232" s="198"/>
      <c r="B232" s="91" t="s">
        <v>222</v>
      </c>
      <c r="C232" s="92"/>
      <c r="D232" s="92">
        <f t="shared" si="6"/>
        <v>0</v>
      </c>
    </row>
    <row r="233" spans="2:4" ht="25.5">
      <c r="B233" s="67" t="s">
        <v>323</v>
      </c>
      <c r="C233" s="68">
        <f>E174+C127*(L95)/1000+(F114+F118+F122)*L97/1000</f>
        <v>299.3582256</v>
      </c>
      <c r="D233" s="90">
        <f t="shared" si="6"/>
        <v>1.3199124213432623</v>
      </c>
    </row>
    <row r="234" spans="2:4" ht="12.75">
      <c r="B234" s="67" t="s">
        <v>236</v>
      </c>
      <c r="C234" s="68">
        <v>0</v>
      </c>
      <c r="D234" s="90">
        <f t="shared" si="6"/>
        <v>0</v>
      </c>
    </row>
    <row r="235" spans="2:4" ht="12.75">
      <c r="B235" s="67" t="s">
        <v>11</v>
      </c>
      <c r="C235" s="90">
        <f>C228+C229+C233+C234</f>
        <v>22680.1582256</v>
      </c>
      <c r="D235" s="90">
        <f>D228+D229+D233+D234</f>
        <v>100</v>
      </c>
    </row>
    <row r="236" ht="12.75"/>
    <row r="237" spans="1:2" ht="15">
      <c r="A237" s="128" t="s">
        <v>217</v>
      </c>
      <c r="B237" s="63" t="s">
        <v>326</v>
      </c>
    </row>
    <row r="238" spans="1:2" s="52" customFormat="1" ht="15">
      <c r="A238" s="198"/>
      <c r="B238" s="150" t="s">
        <v>179</v>
      </c>
    </row>
    <row r="239" spans="2:3" ht="15">
      <c r="B239" s="264" t="s">
        <v>138</v>
      </c>
      <c r="C239" s="264"/>
    </row>
    <row r="240" spans="1:3" s="218" customFormat="1" ht="30">
      <c r="A240" s="152"/>
      <c r="B240" s="252" t="s">
        <v>319</v>
      </c>
      <c r="C240" s="253">
        <v>8</v>
      </c>
    </row>
    <row r="241" spans="1:3" s="218" customFormat="1" ht="15">
      <c r="A241" s="152"/>
      <c r="B241" s="252" t="s">
        <v>137</v>
      </c>
      <c r="C241" s="253">
        <v>5</v>
      </c>
    </row>
    <row r="242" spans="1:3" s="218" customFormat="1" ht="30">
      <c r="A242" s="152"/>
      <c r="B242" s="254" t="s">
        <v>139</v>
      </c>
      <c r="C242" s="255">
        <v>9</v>
      </c>
    </row>
    <row r="243" spans="1:7" s="61" customFormat="1" ht="15" customHeight="1">
      <c r="A243" s="128"/>
      <c r="B243" s="265" t="s">
        <v>2</v>
      </c>
      <c r="C243" s="268">
        <f>D33</f>
        <v>2019</v>
      </c>
      <c r="D243" s="268"/>
      <c r="E243" s="268"/>
      <c r="F243" s="268"/>
      <c r="G243" s="268"/>
    </row>
    <row r="244" spans="1:7" s="61" customFormat="1" ht="15" customHeight="1">
      <c r="A244" s="128"/>
      <c r="B244" s="266"/>
      <c r="C244" s="127" t="s">
        <v>25</v>
      </c>
      <c r="D244" s="127" t="s">
        <v>155</v>
      </c>
      <c r="E244" s="127" t="s">
        <v>26</v>
      </c>
      <c r="F244" s="127" t="s">
        <v>27</v>
      </c>
      <c r="G244" s="257" t="s">
        <v>11</v>
      </c>
    </row>
    <row r="245" spans="1:26" s="61" customFormat="1" ht="15">
      <c r="A245" s="128"/>
      <c r="B245" s="95" t="s">
        <v>156</v>
      </c>
      <c r="C245" s="223">
        <v>90</v>
      </c>
      <c r="D245" s="223">
        <v>91</v>
      </c>
      <c r="E245" s="223">
        <v>92</v>
      </c>
      <c r="F245" s="223">
        <v>92</v>
      </c>
      <c r="G245" s="25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</row>
    <row r="246" spans="1:7" s="61" customFormat="1" ht="15">
      <c r="A246" s="128"/>
      <c r="B246" s="95" t="s">
        <v>136</v>
      </c>
      <c r="C246" s="137">
        <f>IF(D35=1,C217,0)</f>
        <v>22380.8</v>
      </c>
      <c r="D246" s="137">
        <f>IF(D35&lt;3,C217-C248,0)</f>
        <v>22380.8</v>
      </c>
      <c r="E246" s="137">
        <f>IF(E35&lt;3,C217-D248-C248,0)</f>
        <v>22380.8</v>
      </c>
      <c r="F246" s="137">
        <f>IF($F$35&lt;4,$C$217-$E$248-$D$248-$C$248,0)</f>
        <v>22380.8</v>
      </c>
      <c r="G246" s="141" t="s">
        <v>35</v>
      </c>
    </row>
    <row r="247" spans="1:7" s="61" customFormat="1" ht="15">
      <c r="A247" s="128"/>
      <c r="B247" s="95" t="s">
        <v>154</v>
      </c>
      <c r="C247" s="137">
        <f>C246*$C$240%/365*C245</f>
        <v>441.4842739726027</v>
      </c>
      <c r="D247" s="137">
        <f>D246*$C$240%/365*D245</f>
        <v>446.3896547945205</v>
      </c>
      <c r="E247" s="137">
        <f>E246*$C$240%/365*E245</f>
        <v>451.2950356164383</v>
      </c>
      <c r="F247" s="137">
        <f>F246*$C$240%/365*F245</f>
        <v>451.2950356164383</v>
      </c>
      <c r="G247" s="137">
        <f>SUM(C247:F247)</f>
        <v>1790.464</v>
      </c>
    </row>
    <row r="248" spans="1:7" s="61" customFormat="1" ht="15">
      <c r="A248" s="128"/>
      <c r="B248" s="95" t="s">
        <v>29</v>
      </c>
      <c r="C248" s="137">
        <v>0</v>
      </c>
      <c r="D248" s="137">
        <f>D249-D247</f>
        <v>0</v>
      </c>
      <c r="E248" s="137">
        <f>E249-E247</f>
        <v>0</v>
      </c>
      <c r="F248" s="137">
        <f>F249-F247</f>
        <v>1083.9804673779556</v>
      </c>
      <c r="G248" s="137">
        <f>SUM(C248:F248)</f>
        <v>1083.9804673779556</v>
      </c>
    </row>
    <row r="249" spans="1:7" s="61" customFormat="1" ht="15">
      <c r="A249" s="128"/>
      <c r="B249" s="95" t="s">
        <v>28</v>
      </c>
      <c r="C249" s="137">
        <f>IF($C$242&gt;2,C247,C256)</f>
        <v>441.4842739726027</v>
      </c>
      <c r="D249" s="137">
        <f>IF($C$242&gt;5,D247,D256)</f>
        <v>446.3896547945205</v>
      </c>
      <c r="E249" s="137">
        <f>IF($C$242&gt;8,E247,D256)</f>
        <v>451.2950356164383</v>
      </c>
      <c r="F249" s="137">
        <f>IF($C$242&gt;12&lt;9,F247,C256)</f>
        <v>1535.275502994394</v>
      </c>
      <c r="G249" s="137">
        <f>SUM(C249:F249)</f>
        <v>2874.4444673779553</v>
      </c>
    </row>
    <row r="250" spans="1:7" s="61" customFormat="1" ht="15" customHeight="1">
      <c r="A250" s="128"/>
      <c r="B250" s="265" t="s">
        <v>2</v>
      </c>
      <c r="C250" s="273">
        <f>C243+1</f>
        <v>2020</v>
      </c>
      <c r="D250" s="274"/>
      <c r="E250" s="274"/>
      <c r="F250" s="274"/>
      <c r="G250" s="275"/>
    </row>
    <row r="251" spans="1:7" s="61" customFormat="1" ht="15" customHeight="1">
      <c r="A251" s="128"/>
      <c r="B251" s="266"/>
      <c r="C251" s="127" t="s">
        <v>25</v>
      </c>
      <c r="D251" s="127" t="s">
        <v>155</v>
      </c>
      <c r="E251" s="127" t="s">
        <v>26</v>
      </c>
      <c r="F251" s="127" t="s">
        <v>27</v>
      </c>
      <c r="G251" s="257" t="s">
        <v>11</v>
      </c>
    </row>
    <row r="252" spans="1:7" s="61" customFormat="1" ht="15">
      <c r="A252" s="128"/>
      <c r="B252" s="95" t="s">
        <v>156</v>
      </c>
      <c r="C252" s="222">
        <f>C245</f>
        <v>90</v>
      </c>
      <c r="D252" s="222">
        <f>D245</f>
        <v>91</v>
      </c>
      <c r="E252" s="222">
        <f>E245</f>
        <v>92</v>
      </c>
      <c r="F252" s="222">
        <f>F245</f>
        <v>92</v>
      </c>
      <c r="G252" s="258"/>
    </row>
    <row r="253" spans="1:7" s="61" customFormat="1" ht="15">
      <c r="A253" s="128"/>
      <c r="B253" s="95" t="s">
        <v>136</v>
      </c>
      <c r="C253" s="137">
        <f>IF($F$35&lt;5,C217-F248-E248-D248-C248,0)</f>
        <v>21296.819532622045</v>
      </c>
      <c r="D253" s="137">
        <f>C253-C255</f>
        <v>20181.64567520266</v>
      </c>
      <c r="E253" s="137">
        <f>D253-D255</f>
        <v>19048.89724211368</v>
      </c>
      <c r="F253" s="137">
        <f>E253-E255</f>
        <v>17897.731009535604</v>
      </c>
      <c r="G253" s="141" t="s">
        <v>35</v>
      </c>
    </row>
    <row r="254" spans="1:7" s="61" customFormat="1" ht="15">
      <c r="A254" s="128"/>
      <c r="B254" s="95" t="s">
        <v>154</v>
      </c>
      <c r="C254" s="137">
        <f>C253*$C$240%/365*C252</f>
        <v>420.1016455750102</v>
      </c>
      <c r="D254" s="137">
        <f>D253*$C$240%/365*D252</f>
        <v>402.527069905412</v>
      </c>
      <c r="E254" s="137">
        <f>E253*$C$240%/365*E252</f>
        <v>384.1092704163197</v>
      </c>
      <c r="F254" s="137">
        <f>F253*$C$240%/365*F252</f>
        <v>360.89671295940286</v>
      </c>
      <c r="G254" s="137">
        <f>SUM(C254:F254)</f>
        <v>1567.634698856145</v>
      </c>
    </row>
    <row r="255" spans="1:7" s="61" customFormat="1" ht="15">
      <c r="A255" s="128"/>
      <c r="B255" s="95" t="s">
        <v>29</v>
      </c>
      <c r="C255" s="137">
        <f>C256-C254</f>
        <v>1115.1738574193837</v>
      </c>
      <c r="D255" s="137">
        <f>D256-D254</f>
        <v>1132.748433088982</v>
      </c>
      <c r="E255" s="137">
        <f>E256-E254</f>
        <v>1151.1662325780742</v>
      </c>
      <c r="F255" s="137">
        <f>F256-F254</f>
        <v>1174.3787900349912</v>
      </c>
      <c r="G255" s="137">
        <f>SUM(C255:F255)</f>
        <v>4573.467313121431</v>
      </c>
    </row>
    <row r="256" spans="1:7" s="61" customFormat="1" ht="15">
      <c r="A256" s="128"/>
      <c r="B256" s="95" t="s">
        <v>28</v>
      </c>
      <c r="C256" s="140">
        <f>PMT($C$240%/4,($C$241*12-C242)/3,(-C217),0,1)</f>
        <v>1535.275502994394</v>
      </c>
      <c r="D256" s="137">
        <f>C256</f>
        <v>1535.275502994394</v>
      </c>
      <c r="E256" s="137">
        <f>D256</f>
        <v>1535.275502994394</v>
      </c>
      <c r="F256" s="137">
        <f>E256</f>
        <v>1535.275502994394</v>
      </c>
      <c r="G256" s="137">
        <f>SUM(C256:F256)</f>
        <v>6141.102011977576</v>
      </c>
    </row>
    <row r="257" spans="1:7" s="61" customFormat="1" ht="12.75">
      <c r="A257" s="128"/>
      <c r="B257" s="265" t="s">
        <v>2</v>
      </c>
      <c r="C257" s="268">
        <f>C250+1</f>
        <v>2021</v>
      </c>
      <c r="D257" s="268"/>
      <c r="E257" s="268"/>
      <c r="F257" s="268"/>
      <c r="G257" s="138"/>
    </row>
    <row r="258" spans="1:7" s="61" customFormat="1" ht="12.75">
      <c r="A258" s="128"/>
      <c r="B258" s="266"/>
      <c r="C258" s="127" t="s">
        <v>25</v>
      </c>
      <c r="D258" s="127" t="s">
        <v>155</v>
      </c>
      <c r="E258" s="127" t="s">
        <v>26</v>
      </c>
      <c r="F258" s="127" t="s">
        <v>27</v>
      </c>
      <c r="G258" s="257" t="s">
        <v>11</v>
      </c>
    </row>
    <row r="259" spans="1:7" s="61" customFormat="1" ht="15">
      <c r="A259" s="128"/>
      <c r="B259" s="95" t="s">
        <v>156</v>
      </c>
      <c r="C259" s="222">
        <f>C252</f>
        <v>90</v>
      </c>
      <c r="D259" s="222">
        <f>D252</f>
        <v>91</v>
      </c>
      <c r="E259" s="222">
        <f>E252</f>
        <v>92</v>
      </c>
      <c r="F259" s="222">
        <f>F252</f>
        <v>92</v>
      </c>
      <c r="G259" s="258"/>
    </row>
    <row r="260" spans="1:7" s="61" customFormat="1" ht="15">
      <c r="A260" s="128"/>
      <c r="B260" s="95" t="s">
        <v>136</v>
      </c>
      <c r="C260" s="137">
        <f>F253-F255</f>
        <v>16723.35221950061</v>
      </c>
      <c r="D260" s="137">
        <f>C260-C262</f>
        <v>15517.96202056212</v>
      </c>
      <c r="E260" s="137">
        <f>D260-D262</f>
        <v>14292.19545869017</v>
      </c>
      <c r="F260" s="137">
        <f>E260-E262</f>
        <v>13045.113266862789</v>
      </c>
      <c r="G260" s="141" t="s">
        <v>35</v>
      </c>
    </row>
    <row r="261" spans="1:7" s="61" customFormat="1" ht="15">
      <c r="A261" s="128"/>
      <c r="B261" s="95" t="s">
        <v>154</v>
      </c>
      <c r="C261" s="137">
        <f>C260*$C$240%/365*C259</f>
        <v>329.8853040559025</v>
      </c>
      <c r="D261" s="137">
        <f>D260*$C$240%/365*D259</f>
        <v>309.50894112244447</v>
      </c>
      <c r="E261" s="137">
        <f>E260*$C$240%/365*E259</f>
        <v>288.1933111670127</v>
      </c>
      <c r="F261" s="137">
        <f>F260*$C$240%/365*F259</f>
        <v>263.0466675181099</v>
      </c>
      <c r="G261" s="137">
        <f>SUM(C261:F261)</f>
        <v>1190.6342238634695</v>
      </c>
    </row>
    <row r="262" spans="1:7" s="61" customFormat="1" ht="15">
      <c r="A262" s="128"/>
      <c r="B262" s="95" t="s">
        <v>29</v>
      </c>
      <c r="C262" s="137">
        <f>C263-C261</f>
        <v>1205.3901989384915</v>
      </c>
      <c r="D262" s="137">
        <f>D263-D261</f>
        <v>1225.7665618719495</v>
      </c>
      <c r="E262" s="137">
        <f>E263-E261</f>
        <v>1247.0821918273812</v>
      </c>
      <c r="F262" s="137">
        <f>F263-F261</f>
        <v>1272.228835476284</v>
      </c>
      <c r="G262" s="137">
        <f>SUM(C262:F262)</f>
        <v>4950.467788114106</v>
      </c>
    </row>
    <row r="263" spans="1:7" s="61" customFormat="1" ht="15">
      <c r="A263" s="128"/>
      <c r="B263" s="95" t="s">
        <v>28</v>
      </c>
      <c r="C263" s="137">
        <f>F256</f>
        <v>1535.275502994394</v>
      </c>
      <c r="D263" s="137">
        <f>C263</f>
        <v>1535.275502994394</v>
      </c>
      <c r="E263" s="137">
        <f>D263</f>
        <v>1535.275502994394</v>
      </c>
      <c r="F263" s="137">
        <f>E263</f>
        <v>1535.275502994394</v>
      </c>
      <c r="G263" s="137">
        <f>SUM(C263:F263)</f>
        <v>6141.102011977576</v>
      </c>
    </row>
    <row r="264" spans="1:7" s="61" customFormat="1" ht="12.75">
      <c r="A264" s="128"/>
      <c r="B264" s="265" t="s">
        <v>2</v>
      </c>
      <c r="C264" s="268">
        <f>C257+1</f>
        <v>2022</v>
      </c>
      <c r="D264" s="268"/>
      <c r="E264" s="268"/>
      <c r="F264" s="268"/>
      <c r="G264" s="138"/>
    </row>
    <row r="265" spans="1:7" s="61" customFormat="1" ht="12.75">
      <c r="A265" s="128"/>
      <c r="B265" s="266"/>
      <c r="C265" s="127" t="s">
        <v>25</v>
      </c>
      <c r="D265" s="127" t="s">
        <v>155</v>
      </c>
      <c r="E265" s="127" t="s">
        <v>26</v>
      </c>
      <c r="F265" s="127" t="s">
        <v>27</v>
      </c>
      <c r="G265" s="257" t="s">
        <v>11</v>
      </c>
    </row>
    <row r="266" spans="1:7" s="61" customFormat="1" ht="15">
      <c r="A266" s="128"/>
      <c r="B266" s="95" t="s">
        <v>156</v>
      </c>
      <c r="C266" s="222">
        <f>C259</f>
        <v>90</v>
      </c>
      <c r="D266" s="222">
        <f>D259</f>
        <v>91</v>
      </c>
      <c r="E266" s="222">
        <f>E259</f>
        <v>92</v>
      </c>
      <c r="F266" s="222">
        <f>F259</f>
        <v>92</v>
      </c>
      <c r="G266" s="258"/>
    </row>
    <row r="267" spans="1:7" s="61" customFormat="1" ht="15">
      <c r="A267" s="128"/>
      <c r="B267" s="95" t="s">
        <v>136</v>
      </c>
      <c r="C267" s="137">
        <f>F260-F262</f>
        <v>11772.884431386505</v>
      </c>
      <c r="D267" s="137">
        <f>C267-C269</f>
        <v>10469.84116923042</v>
      </c>
      <c r="E267" s="137">
        <f>D267-D269</f>
        <v>9143.388799693554</v>
      </c>
      <c r="F267" s="137">
        <f>E267-E269</f>
        <v>7792.484095509419</v>
      </c>
      <c r="G267" s="141" t="s">
        <v>35</v>
      </c>
    </row>
    <row r="268" spans="1:7" s="61" customFormat="1" ht="15">
      <c r="A268" s="128"/>
      <c r="B268" s="95" t="s">
        <v>154</v>
      </c>
      <c r="C268" s="137">
        <f>C267*$C$240%/365*C266</f>
        <v>232.23224083830914</v>
      </c>
      <c r="D268" s="137">
        <f>D267*$C$240%/365*D266</f>
        <v>208.82313345752726</v>
      </c>
      <c r="E268" s="137">
        <f>E267*$C$240%/365*E266</f>
        <v>184.37079881025903</v>
      </c>
      <c r="F268" s="137">
        <f>F267*$C$240%/365*F266</f>
        <v>157.13063819986115</v>
      </c>
      <c r="G268" s="137">
        <f>SUM(C268:F268)</f>
        <v>782.5568113059564</v>
      </c>
    </row>
    <row r="269" spans="1:7" s="61" customFormat="1" ht="15">
      <c r="A269" s="128"/>
      <c r="B269" s="95" t="s">
        <v>29</v>
      </c>
      <c r="C269" s="137">
        <f>C270-C268</f>
        <v>1303.043262156085</v>
      </c>
      <c r="D269" s="137">
        <f>D270-D268</f>
        <v>1326.4523695368666</v>
      </c>
      <c r="E269" s="137">
        <f>E270-E268</f>
        <v>1350.904704184135</v>
      </c>
      <c r="F269" s="137">
        <f>F270-F268</f>
        <v>1378.1448647945329</v>
      </c>
      <c r="G269" s="137">
        <f>SUM(C269:F269)</f>
        <v>5358.54520067162</v>
      </c>
    </row>
    <row r="270" spans="1:7" s="61" customFormat="1" ht="15">
      <c r="A270" s="128"/>
      <c r="B270" s="95" t="s">
        <v>28</v>
      </c>
      <c r="C270" s="137">
        <f>F263</f>
        <v>1535.275502994394</v>
      </c>
      <c r="D270" s="137">
        <f>C270</f>
        <v>1535.275502994394</v>
      </c>
      <c r="E270" s="137">
        <f>D270</f>
        <v>1535.275502994394</v>
      </c>
      <c r="F270" s="137">
        <f>E270</f>
        <v>1535.275502994394</v>
      </c>
      <c r="G270" s="137">
        <f>SUM(C270:F270)</f>
        <v>6141.102011977576</v>
      </c>
    </row>
    <row r="271" spans="1:7" s="61" customFormat="1" ht="12.75">
      <c r="A271" s="128"/>
      <c r="B271" s="265" t="s">
        <v>2</v>
      </c>
      <c r="C271" s="268">
        <f>C264+1</f>
        <v>2023</v>
      </c>
      <c r="D271" s="268"/>
      <c r="E271" s="268"/>
      <c r="F271" s="268"/>
      <c r="G271" s="138"/>
    </row>
    <row r="272" spans="1:7" s="61" customFormat="1" ht="12.75">
      <c r="A272" s="128"/>
      <c r="B272" s="266"/>
      <c r="C272" s="127" t="s">
        <v>25</v>
      </c>
      <c r="D272" s="127" t="s">
        <v>155</v>
      </c>
      <c r="E272" s="127" t="s">
        <v>26</v>
      </c>
      <c r="F272" s="127" t="s">
        <v>27</v>
      </c>
      <c r="G272" s="257" t="s">
        <v>11</v>
      </c>
    </row>
    <row r="273" spans="1:7" s="61" customFormat="1" ht="15">
      <c r="A273" s="128"/>
      <c r="B273" s="95" t="s">
        <v>156</v>
      </c>
      <c r="C273" s="222">
        <f>C266</f>
        <v>90</v>
      </c>
      <c r="D273" s="222">
        <f>D266</f>
        <v>91</v>
      </c>
      <c r="E273" s="222">
        <f>E266</f>
        <v>92</v>
      </c>
      <c r="F273" s="222">
        <f>F266</f>
        <v>92</v>
      </c>
      <c r="G273" s="258"/>
    </row>
    <row r="274" spans="1:7" s="61" customFormat="1" ht="15">
      <c r="A274" s="128"/>
      <c r="B274" s="95" t="s">
        <v>136</v>
      </c>
      <c r="C274" s="137">
        <f>F267-F269</f>
        <v>6414.339230714886</v>
      </c>
      <c r="D274" s="137">
        <f>C274-C276</f>
        <v>5005.5931591208955</v>
      </c>
      <c r="E274" s="137">
        <f>D274-D276</f>
        <v>3570.1552402317075</v>
      </c>
      <c r="F274" s="137">
        <f>E274-E276</f>
        <v>2106.869716875958</v>
      </c>
      <c r="G274" s="141" t="s">
        <v>35</v>
      </c>
    </row>
    <row r="275" spans="1:7" s="61" customFormat="1" ht="15">
      <c r="A275" s="128"/>
      <c r="B275" s="95" t="s">
        <v>154</v>
      </c>
      <c r="C275" s="137">
        <f>C274*$C$240%/365*C273</f>
        <v>126.52943140040323</v>
      </c>
      <c r="D275" s="137">
        <f>D274*$C$240%/365*D273</f>
        <v>99.8375841052058</v>
      </c>
      <c r="E275" s="137">
        <f>E274*$C$240%/365*E273</f>
        <v>71.98997963864484</v>
      </c>
      <c r="F275" s="137">
        <f>F274*$C$240%/365*F273</f>
        <v>42.48372908549877</v>
      </c>
      <c r="G275" s="137">
        <f>SUM(C275:F275)</f>
        <v>340.84072422975265</v>
      </c>
    </row>
    <row r="276" spans="1:7" s="61" customFormat="1" ht="15">
      <c r="A276" s="128"/>
      <c r="B276" s="95" t="s">
        <v>29</v>
      </c>
      <c r="C276" s="137">
        <f>C277-C275</f>
        <v>1408.7460715939908</v>
      </c>
      <c r="D276" s="137">
        <f>D277-D275</f>
        <v>1435.437918889188</v>
      </c>
      <c r="E276" s="137">
        <f>E277-E275</f>
        <v>1463.285523355749</v>
      </c>
      <c r="F276" s="137">
        <f>IF(C246&gt;0,F274,F277-F275)</f>
        <v>2106.869716875958</v>
      </c>
      <c r="G276" s="137">
        <f>SUM(C276:F276)</f>
        <v>6414.339230714886</v>
      </c>
    </row>
    <row r="277" spans="1:7" s="61" customFormat="1" ht="15">
      <c r="A277" s="128"/>
      <c r="B277" s="95" t="s">
        <v>28</v>
      </c>
      <c r="C277" s="137">
        <f>F270</f>
        <v>1535.275502994394</v>
      </c>
      <c r="D277" s="137">
        <f>C277</f>
        <v>1535.275502994394</v>
      </c>
      <c r="E277" s="137">
        <f>D277</f>
        <v>1535.275502994394</v>
      </c>
      <c r="F277" s="137">
        <f>IF(F276=F274,F275+F276,E277)</f>
        <v>2149.353445961457</v>
      </c>
      <c r="G277" s="137">
        <f>SUM(C277:F277)</f>
        <v>6755.179954944639</v>
      </c>
    </row>
    <row r="278" spans="1:7" s="61" customFormat="1" ht="12.75">
      <c r="A278" s="128"/>
      <c r="B278" s="265" t="s">
        <v>2</v>
      </c>
      <c r="C278" s="268">
        <f>C271+1</f>
        <v>2024</v>
      </c>
      <c r="D278" s="268"/>
      <c r="E278" s="268"/>
      <c r="F278" s="268"/>
      <c r="G278" s="138"/>
    </row>
    <row r="279" spans="1:7" s="61" customFormat="1" ht="12.75">
      <c r="A279" s="128"/>
      <c r="B279" s="266"/>
      <c r="C279" s="127" t="s">
        <v>25</v>
      </c>
      <c r="D279" s="127" t="s">
        <v>155</v>
      </c>
      <c r="E279" s="127" t="s">
        <v>26</v>
      </c>
      <c r="F279" s="127" t="s">
        <v>27</v>
      </c>
      <c r="G279" s="257" t="s">
        <v>11</v>
      </c>
    </row>
    <row r="280" spans="1:7" s="61" customFormat="1" ht="15">
      <c r="A280" s="128"/>
      <c r="B280" s="95" t="s">
        <v>156</v>
      </c>
      <c r="C280" s="139">
        <f>C273</f>
        <v>90</v>
      </c>
      <c r="D280" s="139">
        <f>D273</f>
        <v>91</v>
      </c>
      <c r="E280" s="139">
        <f>E273</f>
        <v>92</v>
      </c>
      <c r="F280" s="139">
        <f>F273</f>
        <v>92</v>
      </c>
      <c r="G280" s="258"/>
    </row>
    <row r="281" spans="1:7" s="61" customFormat="1" ht="15">
      <c r="A281" s="128"/>
      <c r="B281" s="95" t="s">
        <v>136</v>
      </c>
      <c r="C281" s="137">
        <f>F274-F276</f>
        <v>0</v>
      </c>
      <c r="D281" s="137">
        <f>C281-C283</f>
        <v>0</v>
      </c>
      <c r="E281" s="137">
        <f>D281-D283</f>
        <v>0</v>
      </c>
      <c r="F281" s="137">
        <f>E281-E283</f>
        <v>0</v>
      </c>
      <c r="G281" s="141" t="s">
        <v>35</v>
      </c>
    </row>
    <row r="282" spans="1:7" s="61" customFormat="1" ht="15">
      <c r="A282" s="128"/>
      <c r="B282" s="95" t="s">
        <v>154</v>
      </c>
      <c r="C282" s="137">
        <f>C281*$C$240%/365*C280</f>
        <v>0</v>
      </c>
      <c r="D282" s="137">
        <f>C281*$C$240%/365*D280</f>
        <v>0</v>
      </c>
      <c r="E282" s="137">
        <f>D281*$C$240%/365*E280</f>
        <v>0</v>
      </c>
      <c r="F282" s="137">
        <f>E281*$C$240%/365*F280</f>
        <v>0</v>
      </c>
      <c r="G282" s="137">
        <f>SUM(C282:F282)</f>
        <v>0</v>
      </c>
    </row>
    <row r="283" spans="1:7" s="61" customFormat="1" ht="15">
      <c r="A283" s="128"/>
      <c r="B283" s="95" t="s">
        <v>29</v>
      </c>
      <c r="C283" s="137">
        <f>IF(D246&gt;0,C281,C284-C282)</f>
        <v>0</v>
      </c>
      <c r="D283" s="137">
        <f>IF(E246&gt;0,D281,D284-D282)</f>
        <v>0</v>
      </c>
      <c r="E283" s="137">
        <f>IF(F246&gt;0,E281,E284-E282)</f>
        <v>0</v>
      </c>
      <c r="F283" s="137">
        <f>IF(C253&gt;0,F281,F284-F282)</f>
        <v>0</v>
      </c>
      <c r="G283" s="137">
        <f>SUM(C283:F283)</f>
        <v>0</v>
      </c>
    </row>
    <row r="284" spans="1:7" s="61" customFormat="1" ht="15">
      <c r="A284" s="128"/>
      <c r="B284" s="95" t="s">
        <v>28</v>
      </c>
      <c r="C284" s="137">
        <f>IF(C283=C281,C282+C283,B284)</f>
        <v>0</v>
      </c>
      <c r="D284" s="137">
        <f>IF(D283=D281,D282+D283,C284)</f>
        <v>0</v>
      </c>
      <c r="E284" s="137">
        <f>IF(E283=E281,E282+E283,D284)</f>
        <v>0</v>
      </c>
      <c r="F284" s="137">
        <f>IF(F283=F281,F282+F283,E284)</f>
        <v>0</v>
      </c>
      <c r="G284" s="137">
        <f>SUM(C284:F284)</f>
        <v>0</v>
      </c>
    </row>
    <row r="285" spans="2:3" ht="15">
      <c r="B285" s="95" t="s">
        <v>157</v>
      </c>
      <c r="C285" s="136">
        <f>G282+G275+G268+G261+G254+G247</f>
        <v>5672.130458255324</v>
      </c>
    </row>
    <row r="286" spans="2:4" ht="15">
      <c r="B286" s="95" t="s">
        <v>158</v>
      </c>
      <c r="C286" s="136">
        <f>G283+G276+G269+G262+G255+G248</f>
        <v>22380.8</v>
      </c>
      <c r="D286" s="249"/>
    </row>
    <row r="287" spans="2:3" ht="15">
      <c r="B287" s="95" t="s">
        <v>28</v>
      </c>
      <c r="C287" s="136">
        <f>G284+G277+G270+G263+G256+G249</f>
        <v>28052.93045825532</v>
      </c>
    </row>
    <row r="289" spans="1:86" s="46" customFormat="1" ht="12" customHeight="1">
      <c r="A289" s="203"/>
      <c r="B289" s="46" t="s">
        <v>178</v>
      </c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99"/>
      <c r="AV289" s="99"/>
      <c r="AW289" s="99"/>
      <c r="AX289" s="99"/>
      <c r="AY289" s="99"/>
      <c r="AZ289" s="99"/>
      <c r="BA289" s="99"/>
      <c r="BB289" s="99"/>
      <c r="BC289" s="99"/>
      <c r="BD289" s="99"/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99"/>
      <c r="BP289" s="99"/>
      <c r="BQ289" s="99"/>
      <c r="BR289" s="99"/>
      <c r="BS289" s="99"/>
      <c r="BT289" s="99"/>
      <c r="BU289" s="99"/>
      <c r="BV289" s="99"/>
      <c r="BW289" s="99"/>
      <c r="BX289" s="99"/>
      <c r="BY289" s="99"/>
      <c r="BZ289" s="99"/>
      <c r="CA289" s="99"/>
      <c r="CB289" s="99"/>
      <c r="CC289" s="99"/>
      <c r="CD289" s="99"/>
      <c r="CE289" s="99"/>
      <c r="CF289" s="99"/>
      <c r="CG289" s="99"/>
      <c r="CH289" s="99"/>
    </row>
    <row r="290" ht="12.75">
      <c r="B290" s="52" t="s">
        <v>201</v>
      </c>
    </row>
    <row r="292" spans="1:2" s="61" customFormat="1" ht="12.75">
      <c r="A292" s="128" t="s">
        <v>218</v>
      </c>
      <c r="B292" s="61" t="s">
        <v>338</v>
      </c>
    </row>
    <row r="293" spans="1:8" s="153" customFormat="1" ht="12.75">
      <c r="A293" s="152"/>
      <c r="B293" s="154" t="s">
        <v>2</v>
      </c>
      <c r="C293" s="154">
        <f>'приложение 1'!B7</f>
        <v>2019</v>
      </c>
      <c r="D293" s="154">
        <f>C293+1</f>
        <v>2020</v>
      </c>
      <c r="E293" s="154">
        <f>D293+1</f>
        <v>2021</v>
      </c>
      <c r="F293" s="154">
        <f>E293+1</f>
        <v>2022</v>
      </c>
      <c r="G293" s="154">
        <f>F293+1</f>
        <v>2023</v>
      </c>
      <c r="H293" s="154">
        <f>G293+1</f>
        <v>2024</v>
      </c>
    </row>
    <row r="294" spans="1:8" s="153" customFormat="1" ht="12.75">
      <c r="A294" s="152"/>
      <c r="B294" s="155" t="str">
        <f>'приложение 1'!A12</f>
        <v>Выручка </v>
      </c>
      <c r="C294" s="164">
        <f>'приложение 1'!B12</f>
        <v>4947.368421052632</v>
      </c>
      <c r="D294" s="164">
        <f>'приложение 1'!G12</f>
        <v>18800</v>
      </c>
      <c r="E294" s="164">
        <f>'приложение 1'!L12</f>
        <v>18800</v>
      </c>
      <c r="F294" s="164">
        <f>'приложение 1'!Q12</f>
        <v>18800</v>
      </c>
      <c r="G294" s="164">
        <f>'приложение 1'!V12</f>
        <v>18800</v>
      </c>
      <c r="H294" s="164">
        <f>'приложение 1'!AA12</f>
        <v>0</v>
      </c>
    </row>
    <row r="295" spans="1:8" s="153" customFormat="1" ht="12.75">
      <c r="A295" s="152"/>
      <c r="B295" s="155" t="str">
        <f>'приложение 1'!A13</f>
        <v>Переменные расходы</v>
      </c>
      <c r="C295" s="164">
        <f>'приложение 1'!B13</f>
        <v>1817.7221299421967</v>
      </c>
      <c r="D295" s="164">
        <f>'приложение 1'!G13</f>
        <v>4028.0376</v>
      </c>
      <c r="E295" s="164">
        <f>'приложение 1'!L13</f>
        <v>4028.0376</v>
      </c>
      <c r="F295" s="164">
        <f>'приложение 1'!Q13</f>
        <v>4028.0376</v>
      </c>
      <c r="G295" s="164">
        <f>'приложение 1'!V13</f>
        <v>4028.0376</v>
      </c>
      <c r="H295" s="164">
        <f>'приложение 1'!AA13</f>
        <v>0</v>
      </c>
    </row>
    <row r="296" spans="1:8" s="153" customFormat="1" ht="12.75">
      <c r="A296" s="152"/>
      <c r="B296" s="155" t="str">
        <f>'приложение 1'!A19</f>
        <v>Валовая прибыль</v>
      </c>
      <c r="C296" s="164">
        <f aca="true" t="shared" si="7" ref="C296:H296">C294-C295</f>
        <v>3129.646291110435</v>
      </c>
      <c r="D296" s="164">
        <f t="shared" si="7"/>
        <v>14771.9624</v>
      </c>
      <c r="E296" s="164">
        <f t="shared" si="7"/>
        <v>14771.9624</v>
      </c>
      <c r="F296" s="164">
        <f t="shared" si="7"/>
        <v>14771.9624</v>
      </c>
      <c r="G296" s="164">
        <f t="shared" si="7"/>
        <v>14771.9624</v>
      </c>
      <c r="H296" s="164">
        <f t="shared" si="7"/>
        <v>0</v>
      </c>
    </row>
    <row r="297" spans="1:8" s="153" customFormat="1" ht="12.75">
      <c r="A297" s="152"/>
      <c r="B297" s="155" t="str">
        <f>'приложение 1'!A20</f>
        <v>Постоянные расходы</v>
      </c>
      <c r="C297" s="164">
        <f>'приложение 1'!B20+'приложение 1'!B29</f>
        <v>2577.3311567592955</v>
      </c>
      <c r="D297" s="164">
        <f>'приложение 1'!G20+'приложение 1'!G29</f>
        <v>9959.054831427575</v>
      </c>
      <c r="E297" s="164">
        <f>'приложение 1'!L20+'приложение 1'!L29</f>
        <v>9582.0543564349</v>
      </c>
      <c r="F297" s="164">
        <f>'приложение 1'!Q20+'приложение 1'!Q29</f>
        <v>9173.976943877386</v>
      </c>
      <c r="G297" s="164">
        <f>'приложение 1'!V20+'приложение 1'!V29</f>
        <v>8732.260856801182</v>
      </c>
      <c r="H297" s="164">
        <f>'приложение 1'!AA20</f>
        <v>0</v>
      </c>
    </row>
    <row r="298" spans="1:8" s="153" customFormat="1" ht="29.25" customHeight="1">
      <c r="A298" s="152"/>
      <c r="B298" s="155" t="s">
        <v>185</v>
      </c>
      <c r="C298" s="164">
        <f>C297/(C296/C294)</f>
        <v>4074.264498120579</v>
      </c>
      <c r="D298" s="164">
        <f>D297/(D296/D294)</f>
        <v>12674.702640106801</v>
      </c>
      <c r="E298" s="164">
        <f>E297/(E296/E294)</f>
        <v>12194.901193424112</v>
      </c>
      <c r="F298" s="164">
        <f>F297/(F296/F294)</f>
        <v>11675.548710095203</v>
      </c>
      <c r="G298" s="164">
        <f>G297/(G296/G294)</f>
        <v>11113.384915457287</v>
      </c>
      <c r="H298" s="164">
        <f>IF(H294=0,0,H297/(H296/H294))</f>
        <v>0</v>
      </c>
    </row>
    <row r="299" spans="1:8" s="153" customFormat="1" ht="12.75">
      <c r="A299" s="152"/>
      <c r="B299" s="155" t="s">
        <v>186</v>
      </c>
      <c r="C299" s="164">
        <f aca="true" t="shared" si="8" ref="C299:H299">C294-C298</f>
        <v>873.1039229320527</v>
      </c>
      <c r="D299" s="164">
        <f t="shared" si="8"/>
        <v>6125.2973598931985</v>
      </c>
      <c r="E299" s="164">
        <f t="shared" si="8"/>
        <v>6605.098806575888</v>
      </c>
      <c r="F299" s="164">
        <f t="shared" si="8"/>
        <v>7124.451289904797</v>
      </c>
      <c r="G299" s="164">
        <f t="shared" si="8"/>
        <v>7686.615084542713</v>
      </c>
      <c r="H299" s="164">
        <f t="shared" si="8"/>
        <v>0</v>
      </c>
    </row>
    <row r="300" spans="1:8" s="153" customFormat="1" ht="25.5">
      <c r="A300" s="152"/>
      <c r="B300" s="155" t="s">
        <v>187</v>
      </c>
      <c r="C300" s="165">
        <f>100-C298*100/C294</f>
        <v>17.64784525075426</v>
      </c>
      <c r="D300" s="165">
        <f>100-D298*100/D294</f>
        <v>32.581368935602114</v>
      </c>
      <c r="E300" s="165">
        <f>100-E298*100/E294</f>
        <v>35.13350429029728</v>
      </c>
      <c r="F300" s="165">
        <f>100-F298*100/F294</f>
        <v>37.8960174994936</v>
      </c>
      <c r="G300" s="165">
        <f>100-G298*100/G294</f>
        <v>40.88625044969528</v>
      </c>
      <c r="H300" s="165">
        <f>IF(H294=0,0,100-H298*100/H294)</f>
        <v>0</v>
      </c>
    </row>
    <row r="301" s="61" customFormat="1" ht="12.75">
      <c r="A301" s="128"/>
    </row>
    <row r="302" spans="1:2" s="61" customFormat="1" ht="12.75">
      <c r="A302" s="128" t="s">
        <v>219</v>
      </c>
      <c r="B302" s="61" t="s">
        <v>339</v>
      </c>
    </row>
    <row r="303" spans="2:9" s="128" customFormat="1" ht="12.75" hidden="1" outlineLevel="1">
      <c r="B303" s="128" t="s">
        <v>2</v>
      </c>
      <c r="C303" s="277">
        <f>C293</f>
        <v>2019</v>
      </c>
      <c r="D303" s="277"/>
      <c r="E303" s="128">
        <f>D293</f>
        <v>2020</v>
      </c>
      <c r="F303" s="128">
        <f>E293</f>
        <v>2021</v>
      </c>
      <c r="G303" s="128">
        <f>F293</f>
        <v>2022</v>
      </c>
      <c r="H303" s="128">
        <f>G293</f>
        <v>2023</v>
      </c>
      <c r="I303" s="128">
        <f>H293</f>
        <v>2024</v>
      </c>
    </row>
    <row r="304" spans="1:9" s="61" customFormat="1" ht="12.75" hidden="1" outlineLevel="1">
      <c r="A304" s="128"/>
      <c r="B304" s="61" t="s">
        <v>198</v>
      </c>
      <c r="C304" s="156">
        <f>'приложение 2'!B19</f>
        <v>-22680.1582256</v>
      </c>
      <c r="D304" s="156">
        <f>'приложение 2'!B16/((1+C240/100)^1)</f>
        <v>1626.5675391173604</v>
      </c>
      <c r="E304" s="156">
        <f>'приложение 2'!G16/((1+C240/100)^2)</f>
        <v>7829.654195326192</v>
      </c>
      <c r="F304" s="156">
        <f>'приложение 2'!L16/((1+C240/100)^3)</f>
        <v>7219.752297294304</v>
      </c>
      <c r="G304" s="156">
        <f>'приложение 2'!Q16/((1+C240/100)^4)</f>
        <v>6654.960922779887</v>
      </c>
      <c r="H304" s="156">
        <f>'приложение 2'!V16/((1+C240/100)^4)</f>
        <v>6622.493471733743</v>
      </c>
      <c r="I304" s="156">
        <f>'приложение 2'!AA16/((1+C240/100)^6)</f>
        <v>0</v>
      </c>
    </row>
    <row r="305" spans="1:9" s="61" customFormat="1" ht="12.75" hidden="1" outlineLevel="1">
      <c r="A305" s="128"/>
      <c r="B305" s="61" t="s">
        <v>199</v>
      </c>
      <c r="C305" s="156">
        <f>C304</f>
        <v>-22680.1582256</v>
      </c>
      <c r="D305" s="156">
        <f aca="true" t="shared" si="9" ref="D305:I305">C305+D304</f>
        <v>-21053.59068648264</v>
      </c>
      <c r="E305" s="156">
        <f t="shared" si="9"/>
        <v>-13223.936491156448</v>
      </c>
      <c r="F305" s="156">
        <f t="shared" si="9"/>
        <v>-6004.184193862144</v>
      </c>
      <c r="G305" s="156">
        <f t="shared" si="9"/>
        <v>650.7767289177436</v>
      </c>
      <c r="H305" s="156">
        <f t="shared" si="9"/>
        <v>7273.270200651486</v>
      </c>
      <c r="I305" s="156">
        <f t="shared" si="9"/>
        <v>7273.270200651486</v>
      </c>
    </row>
    <row r="306" spans="1:8" s="158" customFormat="1" ht="38.25" collapsed="1">
      <c r="A306" s="157"/>
      <c r="B306" s="66" t="s">
        <v>2</v>
      </c>
      <c r="C306" s="162" t="s">
        <v>189</v>
      </c>
      <c r="D306" s="162" t="s">
        <v>3</v>
      </c>
      <c r="E306" s="162" t="s">
        <v>192</v>
      </c>
      <c r="F306" s="159"/>
      <c r="G306" s="159"/>
      <c r="H306" s="159"/>
    </row>
    <row r="307" spans="1:8" s="158" customFormat="1" ht="12.75">
      <c r="A307" s="157"/>
      <c r="B307" s="67" t="s">
        <v>188</v>
      </c>
      <c r="C307" s="166">
        <f>SUM(C304:I304)</f>
        <v>7273.270200651486</v>
      </c>
      <c r="D307" s="162" t="str">
        <f>D24</f>
        <v>тыс. руб.</v>
      </c>
      <c r="E307" s="163" t="s">
        <v>193</v>
      </c>
      <c r="F307" s="159"/>
      <c r="G307" s="159"/>
      <c r="H307" s="159"/>
    </row>
    <row r="308" spans="1:5" s="158" customFormat="1" ht="12.75">
      <c r="A308" s="157"/>
      <c r="B308" s="67" t="s">
        <v>0</v>
      </c>
      <c r="C308" s="167">
        <f>SUM(D304:H304)/(-C304)</f>
        <v>1.3206886886900928</v>
      </c>
      <c r="D308" s="66" t="s">
        <v>30</v>
      </c>
      <c r="E308" s="154" t="s">
        <v>194</v>
      </c>
    </row>
    <row r="309" spans="1:5" s="158" customFormat="1" ht="25.5">
      <c r="A309" s="157"/>
      <c r="B309" s="67" t="s">
        <v>1</v>
      </c>
      <c r="C309" s="168">
        <f>IRR(C304:I304)</f>
        <v>0.08993699803440647</v>
      </c>
      <c r="D309" s="66" t="s">
        <v>33</v>
      </c>
      <c r="E309" s="154" t="s">
        <v>195</v>
      </c>
    </row>
    <row r="310" spans="1:5" s="61" customFormat="1" ht="25.5" customHeight="1">
      <c r="A310" s="128"/>
      <c r="B310" s="279" t="s">
        <v>200</v>
      </c>
      <c r="C310" s="137">
        <f>(-C304)/AVERAGE(D304:H304)</f>
        <v>3.7859035538187147</v>
      </c>
      <c r="D310" s="127" t="s">
        <v>34</v>
      </c>
      <c r="E310" s="278" t="s">
        <v>197</v>
      </c>
    </row>
    <row r="311" spans="2:5" ht="25.5" customHeight="1">
      <c r="B311" s="279"/>
      <c r="C311" s="137">
        <f>C310*12</f>
        <v>45.430842645824576</v>
      </c>
      <c r="D311" s="127" t="s">
        <v>196</v>
      </c>
      <c r="E311" s="278"/>
    </row>
    <row r="312" spans="1:9" s="160" customFormat="1" ht="12.75" hidden="1" outlineLevel="1">
      <c r="A312" s="204"/>
      <c r="D312" s="161">
        <f>IF(D305&gt;0,(-C305)/D305,1)</f>
        <v>1</v>
      </c>
      <c r="E312" s="160">
        <f>IF(E305&gt;0,0,1)</f>
        <v>1</v>
      </c>
      <c r="F312" s="160">
        <f>IF(F305&gt;0,0,1)</f>
        <v>1</v>
      </c>
      <c r="G312" s="160">
        <f>IF(G305&gt;0,0,1)</f>
        <v>0</v>
      </c>
      <c r="H312" s="160">
        <f>IF(H305&gt;0,0,1)</f>
        <v>0</v>
      </c>
      <c r="I312" s="160">
        <f>IF(I305&gt;0,0,1)</f>
        <v>0</v>
      </c>
    </row>
    <row r="313" ht="12.75" hidden="1" outlineLevel="1"/>
    <row r="314" ht="12.75" collapsed="1"/>
  </sheetData>
  <sheetProtection/>
  <mergeCells count="61">
    <mergeCell ref="B111:F111"/>
    <mergeCell ref="B115:F115"/>
    <mergeCell ref="B119:F119"/>
    <mergeCell ref="F45:F46"/>
    <mergeCell ref="G45:G46"/>
    <mergeCell ref="B47:G47"/>
    <mergeCell ref="B50:G50"/>
    <mergeCell ref="B62:E62"/>
    <mergeCell ref="C45:C46"/>
    <mergeCell ref="B45:B46"/>
    <mergeCell ref="B94:O94"/>
    <mergeCell ref="B98:O98"/>
    <mergeCell ref="B72:E72"/>
    <mergeCell ref="B68:D68"/>
    <mergeCell ref="B71:D71"/>
    <mergeCell ref="B78:D78"/>
    <mergeCell ref="E45:E46"/>
    <mergeCell ref="C303:D303"/>
    <mergeCell ref="E310:E311"/>
    <mergeCell ref="B310:B311"/>
    <mergeCell ref="B69:E69"/>
    <mergeCell ref="B82:D82"/>
    <mergeCell ref="B79:D79"/>
    <mergeCell ref="B80:D80"/>
    <mergeCell ref="B81:D81"/>
    <mergeCell ref="B149:E149"/>
    <mergeCell ref="B150:D150"/>
    <mergeCell ref="B151:D151"/>
    <mergeCell ref="B278:B279"/>
    <mergeCell ref="C278:F278"/>
    <mergeCell ref="C243:G243"/>
    <mergeCell ref="C250:G250"/>
    <mergeCell ref="G251:G252"/>
    <mergeCell ref="B163:I163"/>
    <mergeCell ref="B264:B265"/>
    <mergeCell ref="C264:F264"/>
    <mergeCell ref="B152:D152"/>
    <mergeCell ref="B271:B272"/>
    <mergeCell ref="C271:F271"/>
    <mergeCell ref="B158:E158"/>
    <mergeCell ref="C257:F257"/>
    <mergeCell ref="B153:D153"/>
    <mergeCell ref="B154:B155"/>
    <mergeCell ref="C154:E154"/>
    <mergeCell ref="F154:G154"/>
    <mergeCell ref="B187:B188"/>
    <mergeCell ref="G279:G280"/>
    <mergeCell ref="B239:C239"/>
    <mergeCell ref="B250:B251"/>
    <mergeCell ref="B243:B244"/>
    <mergeCell ref="B257:B258"/>
    <mergeCell ref="G272:G273"/>
    <mergeCell ref="G258:G259"/>
    <mergeCell ref="H154:I154"/>
    <mergeCell ref="D155:E155"/>
    <mergeCell ref="D156:E156"/>
    <mergeCell ref="C157:E157"/>
    <mergeCell ref="G265:G266"/>
    <mergeCell ref="C187:D187"/>
    <mergeCell ref="B176:D176"/>
    <mergeCell ref="G244:G245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P46"/>
  <sheetViews>
    <sheetView showZeros="0" zoomScale="80" zoomScaleNormal="80" zoomScalePageLayoutView="0" workbookViewId="0" topLeftCell="A1">
      <pane xSplit="1" ySplit="11" topLeftCell="T2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AF34"/>
    </sheetView>
  </sheetViews>
  <sheetFormatPr defaultColWidth="9.140625" defaultRowHeight="12.75" outlineLevelRow="1"/>
  <cols>
    <col min="1" max="1" width="43.8515625" style="2" customWidth="1"/>
    <col min="2" max="2" width="10.28125" style="1" customWidth="1"/>
    <col min="3" max="3" width="8.28125" style="1" customWidth="1"/>
    <col min="4" max="4" width="9.57421875" style="1" customWidth="1"/>
    <col min="5" max="5" width="9.00390625" style="1" customWidth="1"/>
    <col min="6" max="6" width="8.7109375" style="1" customWidth="1"/>
    <col min="7" max="7" width="9.00390625" style="10" customWidth="1"/>
    <col min="8" max="8" width="8.140625" style="10" customWidth="1"/>
    <col min="9" max="9" width="8.57421875" style="10" customWidth="1"/>
    <col min="10" max="13" width="8.421875" style="10" customWidth="1"/>
    <col min="14" max="14" width="9.8515625" style="10" customWidth="1"/>
    <col min="15" max="15" width="8.8515625" style="10" customWidth="1"/>
    <col min="16" max="16" width="9.00390625" style="10" customWidth="1"/>
    <col min="17" max="17" width="11.140625" style="10" customWidth="1"/>
    <col min="18" max="18" width="9.57421875" style="10" customWidth="1"/>
    <col min="19" max="19" width="10.00390625" style="10" customWidth="1"/>
    <col min="20" max="20" width="8.421875" style="10" customWidth="1"/>
    <col min="21" max="21" width="9.57421875" style="10" customWidth="1"/>
    <col min="22" max="26" width="10.140625" style="10" customWidth="1"/>
    <col min="27" max="31" width="10.140625" style="10" hidden="1" customWidth="1"/>
    <col min="32" max="32" width="9.140625" style="10" customWidth="1"/>
    <col min="33" max="33" width="9.140625" style="183" customWidth="1"/>
    <col min="34" max="36" width="10.28125" style="183" bestFit="1" customWidth="1"/>
    <col min="37" max="40" width="9.140625" style="183" customWidth="1"/>
    <col min="41" max="42" width="9.140625" style="125" customWidth="1"/>
    <col min="43" max="94" width="9.140625" style="181" customWidth="1"/>
    <col min="95" max="16384" width="9.140625" style="1" customWidth="1"/>
  </cols>
  <sheetData>
    <row r="1" spans="1:40" s="101" customFormat="1" ht="18">
      <c r="A1" s="116"/>
      <c r="B1" s="117" t="str">
        <f>'таблицы в текст'!B1</f>
        <v>НАЗВАНИЕ ПРОЕКТА:</v>
      </c>
      <c r="C1" s="118"/>
      <c r="D1" s="118"/>
      <c r="E1" s="45" t="str">
        <f>'таблицы в текст'!C1</f>
        <v>Бизнес-план организации заготовки и переработки делового леса в п. ХХХ ХХХ района Республики Саха (Якутия)</v>
      </c>
      <c r="AG1" s="182"/>
      <c r="AH1" s="182"/>
      <c r="AI1" s="182"/>
      <c r="AJ1" s="182"/>
      <c r="AK1" s="182"/>
      <c r="AL1" s="182"/>
      <c r="AM1" s="182"/>
      <c r="AN1" s="182"/>
    </row>
    <row r="3" spans="1:94" s="3" customFormat="1" ht="20.25">
      <c r="A3" s="119" t="s">
        <v>142</v>
      </c>
      <c r="B3" s="120"/>
      <c r="C3" s="120"/>
      <c r="D3" s="121"/>
      <c r="E3" s="121"/>
      <c r="F3" s="121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83"/>
      <c r="AH3" s="183"/>
      <c r="AI3" s="183"/>
      <c r="AJ3" s="183"/>
      <c r="AK3" s="183"/>
      <c r="AL3" s="183"/>
      <c r="AM3" s="183"/>
      <c r="AN3" s="183"/>
      <c r="AO3" s="125"/>
      <c r="AP3" s="125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</row>
    <row r="4" spans="1:94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83"/>
      <c r="AH4" s="183"/>
      <c r="AI4" s="183"/>
      <c r="AJ4" s="183"/>
      <c r="AK4" s="183"/>
      <c r="AL4" s="183"/>
      <c r="AM4" s="183"/>
      <c r="AN4" s="183"/>
      <c r="AO4" s="125"/>
      <c r="AP4" s="125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</row>
    <row r="5" spans="1:94" s="3" customFormat="1" ht="18.75">
      <c r="A5" s="103" t="s">
        <v>145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83"/>
      <c r="AH5" s="183"/>
      <c r="AI5" s="183"/>
      <c r="AJ5" s="183"/>
      <c r="AK5" s="183"/>
      <c r="AL5" s="183"/>
      <c r="AM5" s="183"/>
      <c r="AN5" s="183"/>
      <c r="AO5" s="125"/>
      <c r="AP5" s="125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</row>
    <row r="6" spans="1:42" s="4" customFormat="1" ht="18.75">
      <c r="A6" s="123"/>
      <c r="D6" s="124"/>
      <c r="E6" s="124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83"/>
      <c r="AH6" s="183"/>
      <c r="AI6" s="183"/>
      <c r="AJ6" s="183"/>
      <c r="AK6" s="183"/>
      <c r="AL6" s="183"/>
      <c r="AM6" s="183"/>
      <c r="AN6" s="183"/>
      <c r="AO6" s="125"/>
      <c r="AP6" s="125"/>
    </row>
    <row r="7" spans="1:94" s="8" customFormat="1" ht="12.75">
      <c r="A7" s="286" t="s">
        <v>5</v>
      </c>
      <c r="B7" s="286">
        <f>'таблицы в текст'!D33</f>
        <v>2019</v>
      </c>
      <c r="C7" s="286"/>
      <c r="D7" s="286"/>
      <c r="E7" s="286"/>
      <c r="F7" s="286"/>
      <c r="G7" s="286">
        <f>B7+1</f>
        <v>2020</v>
      </c>
      <c r="H7" s="286"/>
      <c r="I7" s="286"/>
      <c r="J7" s="286"/>
      <c r="K7" s="286"/>
      <c r="L7" s="286">
        <f>G7+1</f>
        <v>2021</v>
      </c>
      <c r="M7" s="286"/>
      <c r="N7" s="286"/>
      <c r="O7" s="286"/>
      <c r="P7" s="286"/>
      <c r="Q7" s="286">
        <f>L7+1</f>
        <v>2022</v>
      </c>
      <c r="R7" s="286"/>
      <c r="S7" s="286"/>
      <c r="T7" s="286"/>
      <c r="U7" s="286"/>
      <c r="V7" s="287">
        <f>Q7+1</f>
        <v>2023</v>
      </c>
      <c r="W7" s="288"/>
      <c r="X7" s="288"/>
      <c r="Y7" s="288"/>
      <c r="Z7" s="289"/>
      <c r="AA7" s="134"/>
      <c r="AB7" s="287">
        <f>V7+1</f>
        <v>2024</v>
      </c>
      <c r="AC7" s="288"/>
      <c r="AD7" s="288"/>
      <c r="AE7" s="289"/>
      <c r="AF7" s="286" t="s">
        <v>10</v>
      </c>
      <c r="AG7" s="176"/>
      <c r="AH7" s="176"/>
      <c r="AI7" s="176"/>
      <c r="AJ7" s="176"/>
      <c r="AK7" s="176"/>
      <c r="AL7" s="176"/>
      <c r="AM7" s="176"/>
      <c r="AN7" s="176"/>
      <c r="AO7" s="11"/>
      <c r="AP7" s="11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1:94" s="8" customFormat="1" ht="12.75">
      <c r="A8" s="286"/>
      <c r="B8" s="286" t="s">
        <v>6</v>
      </c>
      <c r="C8" s="286" t="s">
        <v>7</v>
      </c>
      <c r="D8" s="286"/>
      <c r="E8" s="286"/>
      <c r="F8" s="286"/>
      <c r="G8" s="286" t="s">
        <v>6</v>
      </c>
      <c r="H8" s="286"/>
      <c r="I8" s="286"/>
      <c r="J8" s="286"/>
      <c r="K8" s="286"/>
      <c r="L8" s="286" t="s">
        <v>6</v>
      </c>
      <c r="M8" s="286"/>
      <c r="N8" s="286"/>
      <c r="O8" s="286"/>
      <c r="P8" s="286"/>
      <c r="Q8" s="286" t="s">
        <v>6</v>
      </c>
      <c r="R8" s="286"/>
      <c r="S8" s="286"/>
      <c r="T8" s="286"/>
      <c r="U8" s="286"/>
      <c r="V8" s="286" t="s">
        <v>6</v>
      </c>
      <c r="W8" s="286"/>
      <c r="X8" s="286"/>
      <c r="Y8" s="20"/>
      <c r="Z8" s="20"/>
      <c r="AA8" s="290"/>
      <c r="AB8" s="20"/>
      <c r="AC8" s="20"/>
      <c r="AD8" s="20"/>
      <c r="AE8" s="20"/>
      <c r="AF8" s="286"/>
      <c r="AG8" s="176"/>
      <c r="AH8" s="176"/>
      <c r="AI8" s="176"/>
      <c r="AJ8" s="176"/>
      <c r="AK8" s="176"/>
      <c r="AL8" s="176"/>
      <c r="AM8" s="176"/>
      <c r="AN8" s="176"/>
      <c r="AO8" s="11"/>
      <c r="AP8" s="11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1:94" s="8" customFormat="1" ht="12.75">
      <c r="A9" s="286"/>
      <c r="B9" s="286"/>
      <c r="C9" s="20">
        <v>1</v>
      </c>
      <c r="D9" s="20">
        <v>2</v>
      </c>
      <c r="E9" s="20">
        <v>3</v>
      </c>
      <c r="F9" s="20">
        <v>4</v>
      </c>
      <c r="G9" s="286"/>
      <c r="H9" s="20">
        <f aca="true" t="shared" si="0" ref="H9:K10">C9</f>
        <v>1</v>
      </c>
      <c r="I9" s="20">
        <f t="shared" si="0"/>
        <v>2</v>
      </c>
      <c r="J9" s="20">
        <f t="shared" si="0"/>
        <v>3</v>
      </c>
      <c r="K9" s="20">
        <f t="shared" si="0"/>
        <v>4</v>
      </c>
      <c r="L9" s="286"/>
      <c r="M9" s="20">
        <f aca="true" t="shared" si="1" ref="M9:P10">H9</f>
        <v>1</v>
      </c>
      <c r="N9" s="20">
        <f t="shared" si="1"/>
        <v>2</v>
      </c>
      <c r="O9" s="20">
        <f t="shared" si="1"/>
        <v>3</v>
      </c>
      <c r="P9" s="20">
        <f t="shared" si="1"/>
        <v>4</v>
      </c>
      <c r="Q9" s="286"/>
      <c r="R9" s="20">
        <f aca="true" t="shared" si="2" ref="R9:U10">M9</f>
        <v>1</v>
      </c>
      <c r="S9" s="20">
        <f t="shared" si="2"/>
        <v>2</v>
      </c>
      <c r="T9" s="20">
        <f t="shared" si="2"/>
        <v>3</v>
      </c>
      <c r="U9" s="20">
        <f t="shared" si="2"/>
        <v>4</v>
      </c>
      <c r="V9" s="286"/>
      <c r="W9" s="20">
        <f aca="true" t="shared" si="3" ref="W9:Z10">R9</f>
        <v>1</v>
      </c>
      <c r="X9" s="20">
        <f t="shared" si="3"/>
        <v>2</v>
      </c>
      <c r="Y9" s="20">
        <f t="shared" si="3"/>
        <v>3</v>
      </c>
      <c r="Z9" s="20">
        <f t="shared" si="3"/>
        <v>4</v>
      </c>
      <c r="AA9" s="291"/>
      <c r="AB9" s="20">
        <f>W9</f>
        <v>1</v>
      </c>
      <c r="AC9" s="20">
        <f aca="true" t="shared" si="4" ref="AC9:AE11">X9</f>
        <v>2</v>
      </c>
      <c r="AD9" s="20">
        <f t="shared" si="4"/>
        <v>3</v>
      </c>
      <c r="AE9" s="20">
        <f t="shared" si="4"/>
        <v>4</v>
      </c>
      <c r="AF9" s="286"/>
      <c r="AG9" s="176"/>
      <c r="AH9" s="176"/>
      <c r="AI9" s="176"/>
      <c r="AJ9" s="176"/>
      <c r="AK9" s="176"/>
      <c r="AL9" s="176"/>
      <c r="AM9" s="176"/>
      <c r="AN9" s="176"/>
      <c r="AO9" s="11"/>
      <c r="AP9" s="11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1:94" s="8" customFormat="1" ht="12.75" hidden="1">
      <c r="A10" s="20"/>
      <c r="B10" s="20">
        <f>SUM(C10:F10)</f>
        <v>356</v>
      </c>
      <c r="C10" s="20">
        <f>SUM('таблицы в текст'!C93:E93)</f>
        <v>84</v>
      </c>
      <c r="D10" s="20">
        <f>SUM('таблицы в текст'!F93:H93)</f>
        <v>89</v>
      </c>
      <c r="E10" s="20">
        <f>SUM('таблицы в текст'!I93:K93)</f>
        <v>92</v>
      </c>
      <c r="F10" s="20">
        <f>SUM('таблицы в текст'!L93:N93)</f>
        <v>91</v>
      </c>
      <c r="G10" s="20">
        <f>SUM(H10:K10)</f>
        <v>356</v>
      </c>
      <c r="H10" s="20">
        <f t="shared" si="0"/>
        <v>84</v>
      </c>
      <c r="I10" s="20">
        <f t="shared" si="0"/>
        <v>89</v>
      </c>
      <c r="J10" s="20">
        <f t="shared" si="0"/>
        <v>92</v>
      </c>
      <c r="K10" s="20">
        <f t="shared" si="0"/>
        <v>91</v>
      </c>
      <c r="L10" s="20">
        <f>SUM(M10:P10)</f>
        <v>356</v>
      </c>
      <c r="M10" s="20">
        <f t="shared" si="1"/>
        <v>84</v>
      </c>
      <c r="N10" s="20">
        <f t="shared" si="1"/>
        <v>89</v>
      </c>
      <c r="O10" s="20">
        <f t="shared" si="1"/>
        <v>92</v>
      </c>
      <c r="P10" s="20">
        <f t="shared" si="1"/>
        <v>91</v>
      </c>
      <c r="Q10" s="20">
        <f>SUM(R10:U10)</f>
        <v>356</v>
      </c>
      <c r="R10" s="20">
        <f t="shared" si="2"/>
        <v>84</v>
      </c>
      <c r="S10" s="20">
        <f t="shared" si="2"/>
        <v>89</v>
      </c>
      <c r="T10" s="20">
        <f t="shared" si="2"/>
        <v>92</v>
      </c>
      <c r="U10" s="20">
        <f t="shared" si="2"/>
        <v>91</v>
      </c>
      <c r="V10" s="20">
        <f>SUM(W10:Z10)</f>
        <v>356</v>
      </c>
      <c r="W10" s="20">
        <f t="shared" si="3"/>
        <v>84</v>
      </c>
      <c r="X10" s="20">
        <f t="shared" si="3"/>
        <v>89</v>
      </c>
      <c r="Y10" s="20">
        <f t="shared" si="3"/>
        <v>92</v>
      </c>
      <c r="Z10" s="20">
        <f t="shared" si="3"/>
        <v>91</v>
      </c>
      <c r="AA10" s="20"/>
      <c r="AB10" s="20">
        <f>W10</f>
        <v>84</v>
      </c>
      <c r="AC10" s="20">
        <f t="shared" si="4"/>
        <v>89</v>
      </c>
      <c r="AD10" s="20">
        <f t="shared" si="4"/>
        <v>92</v>
      </c>
      <c r="AE10" s="20">
        <f t="shared" si="4"/>
        <v>91</v>
      </c>
      <c r="AF10" s="20"/>
      <c r="AG10" s="176"/>
      <c r="AH10" s="176"/>
      <c r="AI10" s="176"/>
      <c r="AJ10" s="176"/>
      <c r="AK10" s="176"/>
      <c r="AL10" s="176"/>
      <c r="AM10" s="176"/>
      <c r="AN10" s="176"/>
      <c r="AO10" s="11"/>
      <c r="AP10" s="11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</row>
    <row r="11" spans="1:94" s="133" customFormat="1" ht="15" customHeight="1" hidden="1">
      <c r="A11" s="131"/>
      <c r="B11" s="131"/>
      <c r="C11" s="131"/>
      <c r="D11" s="131"/>
      <c r="E11" s="131"/>
      <c r="F11" s="131"/>
      <c r="G11" s="131"/>
      <c r="H11" s="132">
        <f>'таблицы в текст'!B89</f>
        <v>0</v>
      </c>
      <c r="I11" s="132">
        <f>H11</f>
        <v>0</v>
      </c>
      <c r="J11" s="132">
        <f>I11</f>
        <v>0</v>
      </c>
      <c r="K11" s="132">
        <f>J11</f>
        <v>0</v>
      </c>
      <c r="L11" s="131"/>
      <c r="M11" s="132">
        <f>'таблицы в текст'!C89</f>
        <v>0</v>
      </c>
      <c r="N11" s="132">
        <f>M11</f>
        <v>0</v>
      </c>
      <c r="O11" s="132">
        <f>N11</f>
        <v>0</v>
      </c>
      <c r="P11" s="132">
        <f>O11</f>
        <v>0</v>
      </c>
      <c r="Q11" s="131"/>
      <c r="R11" s="132">
        <f>'таблицы в текст'!D89</f>
        <v>0</v>
      </c>
      <c r="S11" s="132">
        <f>R11</f>
        <v>0</v>
      </c>
      <c r="T11" s="132">
        <f>S11</f>
        <v>0</v>
      </c>
      <c r="U11" s="132">
        <f>T11</f>
        <v>0</v>
      </c>
      <c r="V11" s="131"/>
      <c r="W11" s="132">
        <f>'таблицы в текст'!E89</f>
        <v>0</v>
      </c>
      <c r="X11" s="132">
        <f>W11</f>
        <v>0</v>
      </c>
      <c r="Y11" s="132">
        <f>X11</f>
        <v>0</v>
      </c>
      <c r="Z11" s="132">
        <f>Y11</f>
        <v>0</v>
      </c>
      <c r="AA11" s="132"/>
      <c r="AB11" s="130">
        <f>W11</f>
        <v>0</v>
      </c>
      <c r="AC11" s="130">
        <f t="shared" si="4"/>
        <v>0</v>
      </c>
      <c r="AD11" s="130">
        <f t="shared" si="4"/>
        <v>0</v>
      </c>
      <c r="AE11" s="130">
        <f t="shared" si="4"/>
        <v>0</v>
      </c>
      <c r="AF11" s="131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</row>
    <row r="12" spans="1:94" s="8" customFormat="1" ht="15" customHeight="1">
      <c r="A12" s="12" t="s">
        <v>146</v>
      </c>
      <c r="B12" s="28">
        <f>SUM(C12:F12)</f>
        <v>4947.368421052632</v>
      </c>
      <c r="C12" s="28">
        <f>IF('таблицы в текст'!$D$38&lt;2,('таблицы в текст'!C104+'таблицы в текст'!D104+'таблицы в текст'!E104)*(100%+'приложение 1'!C10),0)</f>
        <v>0</v>
      </c>
      <c r="D12" s="28">
        <f>IF('таблицы в текст'!$D$38&lt;3,('таблицы в текст'!F104+'таблицы в текст'!G104+'таблицы в текст'!H104)*(100%+'приложение 1'!D11),0)</f>
        <v>0</v>
      </c>
      <c r="E12" s="28">
        <f>IF('таблицы в текст'!$D$38&lt;4,('таблицы в текст'!$I$104+'таблицы в текст'!$J$104+'таблицы в текст'!$K$104)*(100%+'приложение 1'!E11),0)</f>
        <v>0</v>
      </c>
      <c r="F12" s="28">
        <f>IF('таблицы в текст'!$D$38&lt;5,('таблицы в текст'!$L$104+'таблицы в текст'!$M$104+'таблицы в текст'!$N$104)*(100%+'приложение 1'!F11),0)</f>
        <v>4947.368421052632</v>
      </c>
      <c r="G12" s="28">
        <f>SUM(H12:K12)</f>
        <v>18800</v>
      </c>
      <c r="H12" s="28">
        <f>IF('таблицы в текст'!$D$38&lt;6,('таблицы в текст'!$C$104+'таблицы в текст'!$D$104+'таблицы в текст'!$E$104)*(100%+H11),0)*H36</f>
        <v>4338.461538461538</v>
      </c>
      <c r="I12" s="28">
        <f>IF('таблицы в текст'!$D$38&lt;7,('таблицы в текст'!$F$104+'таблицы в текст'!$G$104+'таблицы в текст'!$H$104)*(100%+'приложение 1'!I11),0)*I36</f>
        <v>4490.688259109312</v>
      </c>
      <c r="J12" s="28">
        <f>IF('таблицы в текст'!$D$38&lt;8,('таблицы в текст'!$I$104+'таблицы в текст'!$J$104+'таблицы в текст'!$K$104)*(100%+'приложение 1'!J11),0)*J36</f>
        <v>5023.4817813765185</v>
      </c>
      <c r="K12" s="28">
        <f>IF('таблицы в текст'!$D$38&lt;9,('таблицы в текст'!$L$104+'таблицы в текст'!$M$104+'таблицы в текст'!$N$104)*(100%+'приложение 1'!K11),0)*1</f>
        <v>4947.368421052632</v>
      </c>
      <c r="L12" s="28">
        <f>SUM(M12:P12)</f>
        <v>18800</v>
      </c>
      <c r="M12" s="28">
        <f>H12*(100%+M11)*M36</f>
        <v>4338.461538461538</v>
      </c>
      <c r="N12" s="28">
        <f>I12*(100%+N11)*N36</f>
        <v>4490.688259109312</v>
      </c>
      <c r="O12" s="28">
        <f>J12*(100%+O11)*O36</f>
        <v>5023.4817813765185</v>
      </c>
      <c r="P12" s="28">
        <f>K12*(100%+P11)*P36</f>
        <v>4947.368421052632</v>
      </c>
      <c r="Q12" s="28">
        <f>SUM(R12:U12)</f>
        <v>18800</v>
      </c>
      <c r="R12" s="28">
        <f>M12*(100%+R11)*R36</f>
        <v>4338.461538461538</v>
      </c>
      <c r="S12" s="28">
        <f>N12*(100%+S11)*S36</f>
        <v>4490.688259109312</v>
      </c>
      <c r="T12" s="28">
        <f>O12*(100%+T11)*T36</f>
        <v>5023.4817813765185</v>
      </c>
      <c r="U12" s="28">
        <f>P12*(100%+U11)*U36</f>
        <v>4947.368421052632</v>
      </c>
      <c r="V12" s="28">
        <f>SUM(W12:Z12)</f>
        <v>18800</v>
      </c>
      <c r="W12" s="28">
        <f>R12*(100%+W11)*W36</f>
        <v>4338.461538461538</v>
      </c>
      <c r="X12" s="28">
        <f>S12*(100%+X11)*X36</f>
        <v>4490.688259109312</v>
      </c>
      <c r="Y12" s="28">
        <f>T12*(100%+Y11)*Y36</f>
        <v>5023.4817813765185</v>
      </c>
      <c r="Z12" s="28">
        <f>U12*(100%+Z11)*Z36</f>
        <v>4947.368421052632</v>
      </c>
      <c r="AA12" s="29">
        <f aca="true" t="shared" si="5" ref="AA12:AA28">SUM(AB12:AE12)</f>
        <v>0</v>
      </c>
      <c r="AB12" s="28">
        <f>IF('таблицы в текст'!$D$35&lt;2,0,W12*(100%+AB11)*AB36)</f>
        <v>0</v>
      </c>
      <c r="AC12" s="28">
        <f>IF('таблицы в текст'!$D$35&lt;3,0,X12*(100%+AC11)*AC36)</f>
        <v>0</v>
      </c>
      <c r="AD12" s="28">
        <f>IF('таблицы в текст'!$D$35&lt;4,0,Y12*(100%+AD11)*AD36)</f>
        <v>0</v>
      </c>
      <c r="AE12" s="28">
        <f>IF('таблицы в текст'!$D$35&lt;5,0,Z12*(100%+AE11)*AE36)</f>
        <v>0</v>
      </c>
      <c r="AF12" s="28">
        <f>AA12+V12+Q12+L12+G12+B12</f>
        <v>80147.36842105263</v>
      </c>
      <c r="AG12" s="176"/>
      <c r="AH12" s="184"/>
      <c r="AI12" s="184"/>
      <c r="AJ12" s="185"/>
      <c r="AK12" s="176"/>
      <c r="AL12" s="176"/>
      <c r="AM12" s="176"/>
      <c r="AN12" s="176"/>
      <c r="AO12" s="11"/>
      <c r="AP12" s="11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1:94" s="8" customFormat="1" ht="15" customHeight="1">
      <c r="A13" s="12" t="s">
        <v>151</v>
      </c>
      <c r="B13" s="28">
        <f>B15+B16+B17+B18</f>
        <v>1817.7221299421967</v>
      </c>
      <c r="C13" s="28">
        <f aca="true" t="shared" si="6" ref="C13:AE13">C15+C16+C17+C18</f>
        <v>0</v>
      </c>
      <c r="D13" s="28">
        <f t="shared" si="6"/>
        <v>0</v>
      </c>
      <c r="E13" s="28">
        <f t="shared" si="6"/>
        <v>0</v>
      </c>
      <c r="F13" s="28">
        <f t="shared" si="6"/>
        <v>1817.7221299421967</v>
      </c>
      <c r="G13" s="28">
        <f t="shared" si="6"/>
        <v>4028.0376</v>
      </c>
      <c r="H13" s="28">
        <f t="shared" si="6"/>
        <v>1474.5537498265896</v>
      </c>
      <c r="I13" s="28">
        <f t="shared" si="6"/>
        <v>705.8346802312138</v>
      </c>
      <c r="J13" s="28">
        <f t="shared" si="6"/>
        <v>29.927039999999998</v>
      </c>
      <c r="K13" s="28">
        <f t="shared" si="6"/>
        <v>1817.7221299421967</v>
      </c>
      <c r="L13" s="28">
        <f t="shared" si="6"/>
        <v>4028.0376</v>
      </c>
      <c r="M13" s="28">
        <f t="shared" si="6"/>
        <v>1474.5537498265896</v>
      </c>
      <c r="N13" s="28">
        <f t="shared" si="6"/>
        <v>705.8346802312138</v>
      </c>
      <c r="O13" s="28">
        <f t="shared" si="6"/>
        <v>29.927039999999998</v>
      </c>
      <c r="P13" s="28">
        <f t="shared" si="6"/>
        <v>1817.7221299421967</v>
      </c>
      <c r="Q13" s="28">
        <f t="shared" si="6"/>
        <v>4028.0376</v>
      </c>
      <c r="R13" s="28">
        <f t="shared" si="6"/>
        <v>1474.5537498265896</v>
      </c>
      <c r="S13" s="28">
        <f t="shared" si="6"/>
        <v>705.8346802312138</v>
      </c>
      <c r="T13" s="28">
        <f t="shared" si="6"/>
        <v>29.927039999999998</v>
      </c>
      <c r="U13" s="28">
        <f t="shared" si="6"/>
        <v>1817.7221299421967</v>
      </c>
      <c r="V13" s="28">
        <f t="shared" si="6"/>
        <v>4028.0376</v>
      </c>
      <c r="W13" s="28">
        <f t="shared" si="6"/>
        <v>1474.5537498265896</v>
      </c>
      <c r="X13" s="28">
        <f t="shared" si="6"/>
        <v>705.8346802312138</v>
      </c>
      <c r="Y13" s="28">
        <f t="shared" si="6"/>
        <v>29.927039999999998</v>
      </c>
      <c r="Z13" s="28">
        <f t="shared" si="6"/>
        <v>1817.7221299421967</v>
      </c>
      <c r="AA13" s="28">
        <f t="shared" si="6"/>
        <v>0</v>
      </c>
      <c r="AB13" s="28">
        <f t="shared" si="6"/>
        <v>0</v>
      </c>
      <c r="AC13" s="28">
        <f t="shared" si="6"/>
        <v>0</v>
      </c>
      <c r="AD13" s="28">
        <f t="shared" si="6"/>
        <v>0</v>
      </c>
      <c r="AE13" s="28">
        <f t="shared" si="6"/>
        <v>0</v>
      </c>
      <c r="AF13" s="28">
        <f aca="true" t="shared" si="7" ref="AF13:AF33">AA13+V13+Q13+L13+G13+B13</f>
        <v>17929.872529942197</v>
      </c>
      <c r="AG13" s="176"/>
      <c r="AH13" s="184"/>
      <c r="AI13" s="184"/>
      <c r="AJ13" s="185"/>
      <c r="AK13" s="176"/>
      <c r="AL13" s="176"/>
      <c r="AM13" s="176"/>
      <c r="AN13" s="176"/>
      <c r="AO13" s="11"/>
      <c r="AP13" s="11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1:94" s="8" customFormat="1" ht="15" customHeight="1">
      <c r="A14" s="12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>
        <f t="shared" si="5"/>
        <v>0</v>
      </c>
      <c r="AB14" s="28"/>
      <c r="AC14" s="28"/>
      <c r="AD14" s="28"/>
      <c r="AE14" s="28"/>
      <c r="AF14" s="28">
        <f t="shared" si="7"/>
        <v>0</v>
      </c>
      <c r="AG14" s="176"/>
      <c r="AH14" s="184"/>
      <c r="AI14" s="184"/>
      <c r="AJ14" s="185"/>
      <c r="AK14" s="176"/>
      <c r="AL14" s="176"/>
      <c r="AM14" s="176"/>
      <c r="AN14" s="176"/>
      <c r="AO14" s="11"/>
      <c r="AP14" s="11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</row>
    <row r="15" spans="1:94" s="8" customFormat="1" ht="15" customHeight="1">
      <c r="A15" s="135" t="str">
        <f>'таблицы в текст'!B189</f>
        <v>Расходы на ГСМ</v>
      </c>
      <c r="B15" s="28">
        <f>SUM(C15:F15)</f>
        <v>620.934483699422</v>
      </c>
      <c r="C15" s="28">
        <f>IF(C12=0,0,('таблицы в текст'!$C$95+'таблицы в текст'!$D$95+'таблицы в текст'!$E$95)*('таблицы в текст'!$C$189/'таблицы в текст'!$O$95))</f>
        <v>0</v>
      </c>
      <c r="D15" s="28">
        <f>IF(D12=0,0,('таблицы в текст'!$F$95+'таблицы в текст'!$G$95+'таблицы в текст'!$H$95)*('таблицы в текст'!$C$189/'таблицы в текст'!$O$95))</f>
        <v>0</v>
      </c>
      <c r="E15" s="28">
        <f>IF(E12=0,0,('таблицы в текст'!$I$95+'таблицы в текст'!$J$95+'таблицы в текст'!$K$95)*('таблицы в текст'!$C$189/'таблицы в текст'!$O$95))</f>
        <v>0</v>
      </c>
      <c r="F15" s="28">
        <f>IF(F12=0,0,('таблицы в текст'!$L$95+'таблицы в текст'!$M$95+'таблицы в текст'!$N$95)*('таблицы в текст'!$C$189/'таблицы в текст'!$O$95))</f>
        <v>620.934483699422</v>
      </c>
      <c r="G15" s="28">
        <f>SUM(H15:K15)</f>
        <v>1359.76792</v>
      </c>
      <c r="H15" s="28">
        <f>IF(H12=0,0,('таблицы в текст'!$C$95+'таблицы в текст'!$D$95+'таблицы в текст'!$E$95)*('таблицы в текст'!$C$189/'таблицы в текст'!$O$95))</f>
        <v>503.0355310982659</v>
      </c>
      <c r="I15" s="28">
        <f>IF(I12=0,0,('таблицы в текст'!$F$95+'таблицы в текст'!$G$95+'таблицы в текст'!$H$95)*('таблицы в текст'!$C$189/'таблицы в текст'!$O$95))</f>
        <v>235.79790520231214</v>
      </c>
      <c r="J15" s="28">
        <f>IF(J12=0,0,('таблицы в текст'!$I$95+'таблицы в текст'!$J$95+'таблицы в текст'!$K$95)*('таблицы в текст'!$C$189/'таблицы в текст'!$O$95))</f>
        <v>0</v>
      </c>
      <c r="K15" s="28">
        <f>IF(K12=0,0,('таблицы в текст'!$L$95+'таблицы в текст'!$M$95+'таблицы в текст'!$N$95)*('таблицы в текст'!$C$189/'таблицы в текст'!$O$95))</f>
        <v>620.934483699422</v>
      </c>
      <c r="L15" s="28">
        <f>SUM(M15:P15)</f>
        <v>1359.76792</v>
      </c>
      <c r="M15" s="28">
        <f>IF(M12=0,0,('таблицы в текст'!$C$95+'таблицы в текст'!$D$95+'таблицы в текст'!$E$95)*('таблицы в текст'!$C$189/'таблицы в текст'!$O$95))</f>
        <v>503.0355310982659</v>
      </c>
      <c r="N15" s="28">
        <f>IF(N12=0,0,('таблицы в текст'!$F$95+'таблицы в текст'!$G$95+'таблицы в текст'!$H$95)*('таблицы в текст'!$C$189/'таблицы в текст'!$O$95))</f>
        <v>235.79790520231214</v>
      </c>
      <c r="O15" s="28">
        <f>IF(O12=0,0,('таблицы в текст'!$I$95+'таблицы в текст'!$J$95+'таблицы в текст'!$K$95)*('таблицы в текст'!$C$189/'таблицы в текст'!$O$95))</f>
        <v>0</v>
      </c>
      <c r="P15" s="28">
        <f>IF(P12=0,0,('таблицы в текст'!$L$95+'таблицы в текст'!$M$95+'таблицы в текст'!$N$95)*('таблицы в текст'!$C$189/'таблицы в текст'!$O$95))</f>
        <v>620.934483699422</v>
      </c>
      <c r="Q15" s="28">
        <f>SUM(R15:U15)</f>
        <v>1359.76792</v>
      </c>
      <c r="R15" s="28">
        <f>IF(R12=0,0,('таблицы в текст'!$C$95+'таблицы в текст'!$D$95+'таблицы в текст'!$E$95)*('таблицы в текст'!$C$189/'таблицы в текст'!$O$95))</f>
        <v>503.0355310982659</v>
      </c>
      <c r="S15" s="28">
        <f>IF(S12=0,0,('таблицы в текст'!$F$95+'таблицы в текст'!$G$95+'таблицы в текст'!$H$95)*('таблицы в текст'!$C$189/'таблицы в текст'!$O$95))</f>
        <v>235.79790520231214</v>
      </c>
      <c r="T15" s="28">
        <f>IF(T12=0,0,('таблицы в текст'!$I$95+'таблицы в текст'!$J$95+'таблицы в текст'!$K$95)*('таблицы в текст'!$C$189/'таблицы в текст'!$O$95))</f>
        <v>0</v>
      </c>
      <c r="U15" s="28">
        <f>IF(U12=0,0,('таблицы в текст'!$L$95+'таблицы в текст'!$M$95+'таблицы в текст'!$N$95)*('таблицы в текст'!$C$189/'таблицы в текст'!$O$95))</f>
        <v>620.934483699422</v>
      </c>
      <c r="V15" s="28">
        <f>SUM(W15:Z15)</f>
        <v>1359.76792</v>
      </c>
      <c r="W15" s="28">
        <f>IF(W12=0,0,('таблицы в текст'!$C$95+'таблицы в текст'!$D$95+'таблицы в текст'!$E$95)*('таблицы в текст'!$C$189/'таблицы в текст'!$O$95))</f>
        <v>503.0355310982659</v>
      </c>
      <c r="X15" s="28">
        <f>IF(X12=0,0,('таблицы в текст'!$F$95+'таблицы в текст'!$G$95+'таблицы в текст'!$H$95)*('таблицы в текст'!$C$189/'таблицы в текст'!$O$95))</f>
        <v>235.79790520231214</v>
      </c>
      <c r="Y15" s="28">
        <f>IF(Y12=0,0,('таблицы в текст'!$I$95+'таблицы в текст'!$J$95+'таблицы в текст'!$K$95)*('таблицы в текст'!$C$189/'таблицы в текст'!$O$95))</f>
        <v>0</v>
      </c>
      <c r="Z15" s="28">
        <f>IF(Z12=0,0,('таблицы в текст'!$L$95+'таблицы в текст'!$M$95+'таблицы в текст'!$N$95)*('таблицы в текст'!$C$189/'таблицы в текст'!$O$95))</f>
        <v>620.934483699422</v>
      </c>
      <c r="AA15" s="29">
        <f t="shared" si="5"/>
        <v>0</v>
      </c>
      <c r="AB15" s="28">
        <f>IF(AB12=0,0,('таблицы в текст'!$C$95+'таблицы в текст'!$D$95+'таблицы в текст'!$E$95)*('таблицы в текст'!$C$189/'таблицы в текст'!$O$95))</f>
        <v>0</v>
      </c>
      <c r="AC15" s="28">
        <f>IF(AC12=0,0,('таблицы в текст'!$F$95+'таблицы в текст'!$G$95+'таблицы в текст'!$H$95)*('таблицы в текст'!$C$189/'таблицы в текст'!$O$95))</f>
        <v>0</v>
      </c>
      <c r="AD15" s="28">
        <f>IF(AD12=0,0,('таблицы в текст'!$I$95+'таблицы в текст'!$J$95+'таблицы в текст'!$K$95)*('таблицы в текст'!$C$189/'таблицы в текст'!$O$95))</f>
        <v>0</v>
      </c>
      <c r="AE15" s="28">
        <f>IF(AE12=0,0,('таблицы в текст'!$L$95+'таблицы в текст'!$M$95+'таблицы в текст'!$N$95)*('таблицы в текст'!$C$189/'таблицы в текст'!$O$95))</f>
        <v>0</v>
      </c>
      <c r="AF15" s="28">
        <f t="shared" si="7"/>
        <v>6060.006163699422</v>
      </c>
      <c r="AG15" s="176"/>
      <c r="AH15" s="184"/>
      <c r="AI15" s="184"/>
      <c r="AJ15" s="185"/>
      <c r="AK15" s="176"/>
      <c r="AL15" s="176"/>
      <c r="AM15" s="176"/>
      <c r="AN15" s="176"/>
      <c r="AO15" s="11"/>
      <c r="AP15" s="11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1:94" s="8" customFormat="1" ht="15" customHeight="1">
      <c r="A16" s="135" t="str">
        <f>'таблицы в текст'!B190</f>
        <v>Расходы на питание</v>
      </c>
      <c r="B16" s="28">
        <f>SUM(C16:F16)</f>
        <v>284.4</v>
      </c>
      <c r="C16" s="28">
        <f>IF(C12=0,0,('таблицы в текст'!$C$95+'таблицы в текст'!$D$95+'таблицы в текст'!$E$95)*('таблицы в текст'!$C$190/'таблицы в текст'!$O$95))</f>
        <v>0</v>
      </c>
      <c r="D16" s="28">
        <f>IF(D12=0,0,('таблицы в текст'!$F$95+'таблицы в текст'!$G$95+'таблицы в текст'!$H$95)*('таблицы в текст'!$C$190/'таблицы в текст'!$O$95))</f>
        <v>0</v>
      </c>
      <c r="E16" s="28">
        <f>IF(E12=0,0,('таблицы в текст'!$I$95+'таблицы в текст'!$J$95+'таблицы в текст'!$K$95)*('таблицы в текст'!$C$190/'таблицы в текст'!$O$95))</f>
        <v>0</v>
      </c>
      <c r="F16" s="28">
        <f>IF(F12=0,0,('таблицы в текст'!$L$95+'таблицы в текст'!$M$95+'таблицы в текст'!$N$95)*('таблицы в текст'!$C$190/'таблицы в текст'!$O$95))</f>
        <v>284.4</v>
      </c>
      <c r="G16" s="28">
        <f>SUM(H16:K16)</f>
        <v>622.8</v>
      </c>
      <c r="H16" s="28">
        <f>IF(H12=0,0,('таблицы в текст'!$C$95+'таблицы в текст'!$D$95+'таблицы в текст'!$E$95)*('таблицы в текст'!$C$190/'таблицы в текст'!$O$95))</f>
        <v>230.39999999999998</v>
      </c>
      <c r="I16" s="28">
        <f>IF(I12=0,0,('таблицы в текст'!$F$95+'таблицы в текст'!$G$95+'таблицы в текст'!$H$95)*('таблицы в текст'!$C$190/'таблицы в текст'!$O$95))</f>
        <v>107.99999999999999</v>
      </c>
      <c r="J16" s="28">
        <f>IF(J12=0,0,('таблицы в текст'!$I$95+'таблицы в текст'!$J$95+'таблицы в текст'!$K$95)*('таблицы в текст'!$C$190/'таблицы в текст'!$O$95))</f>
        <v>0</v>
      </c>
      <c r="K16" s="28">
        <f>IF(K12=0,0,('таблицы в текст'!$L$95+'таблицы в текст'!$M$95+'таблицы в текст'!$N$95)*('таблицы в текст'!$C$190/'таблицы в текст'!$O$95))</f>
        <v>284.4</v>
      </c>
      <c r="L16" s="28">
        <f>SUM(M16:P16)</f>
        <v>622.8</v>
      </c>
      <c r="M16" s="28">
        <f>IF(M12=0,0,('таблицы в текст'!$C$95+'таблицы в текст'!$D$95+'таблицы в текст'!$E$95)*('таблицы в текст'!$C$190/'таблицы в текст'!$O$95))</f>
        <v>230.39999999999998</v>
      </c>
      <c r="N16" s="28">
        <f>IF(N12=0,0,('таблицы в текст'!$F$95+'таблицы в текст'!$G$95+'таблицы в текст'!$H$95)*('таблицы в текст'!$C$190/'таблицы в текст'!$O$95))</f>
        <v>107.99999999999999</v>
      </c>
      <c r="O16" s="28">
        <f>IF(O12=0,0,('таблицы в текст'!$I$95+'таблицы в текст'!$J$95+'таблицы в текст'!$K$95)*('таблицы в текст'!$C$190/'таблицы в текст'!$O$95))</f>
        <v>0</v>
      </c>
      <c r="P16" s="28">
        <f>IF(P12=0,0,('таблицы в текст'!$L$95+'таблицы в текст'!$M$95+'таблицы в текст'!$N$95)*('таблицы в текст'!$C$190/'таблицы в текст'!$O$95))</f>
        <v>284.4</v>
      </c>
      <c r="Q16" s="28">
        <f>SUM(R16:U16)</f>
        <v>622.8</v>
      </c>
      <c r="R16" s="28">
        <f>IF(R12=0,0,('таблицы в текст'!$C$95+'таблицы в текст'!$D$95+'таблицы в текст'!$E$95)*('таблицы в текст'!$C$190/'таблицы в текст'!$O$95))</f>
        <v>230.39999999999998</v>
      </c>
      <c r="S16" s="28">
        <f>IF(S12=0,0,('таблицы в текст'!$F$95+'таблицы в текст'!$G$95+'таблицы в текст'!$H$95)*('таблицы в текст'!$C$190/'таблицы в текст'!$O$95))</f>
        <v>107.99999999999999</v>
      </c>
      <c r="T16" s="28">
        <f>IF(T12=0,0,('таблицы в текст'!$I$95+'таблицы в текст'!$J$95+'таблицы в текст'!$K$95)*('таблицы в текст'!$C$190/'таблицы в текст'!$O$95))</f>
        <v>0</v>
      </c>
      <c r="U16" s="28">
        <f>IF(U12=0,0,('таблицы в текст'!$L$95+'таблицы в текст'!$M$95+'таблицы в текст'!$N$95)*('таблицы в текст'!$C$190/'таблицы в текст'!$O$95))</f>
        <v>284.4</v>
      </c>
      <c r="V16" s="28">
        <f>SUM(W16:Z16)</f>
        <v>622.8</v>
      </c>
      <c r="W16" s="28">
        <f>IF(W12=0,0,('таблицы в текст'!$C$95+'таблицы в текст'!$D$95+'таблицы в текст'!$E$95)*('таблицы в текст'!$C$190/'таблицы в текст'!$O$95))</f>
        <v>230.39999999999998</v>
      </c>
      <c r="X16" s="28">
        <f>IF(X12=0,0,('таблицы в текст'!$F$95+'таблицы в текст'!$G$95+'таблицы в текст'!$H$95)*('таблицы в текст'!$C$190/'таблицы в текст'!$O$95))</f>
        <v>107.99999999999999</v>
      </c>
      <c r="Y16" s="28">
        <f>IF(Y12=0,0,('таблицы в текст'!$I$95+'таблицы в текст'!$J$95+'таблицы в текст'!$K$95)*('таблицы в текст'!$C$190/'таблицы в текст'!$O$95))</f>
        <v>0</v>
      </c>
      <c r="Z16" s="28">
        <f>IF(Z12=0,0,('таблицы в текст'!$L$95+'таблицы в текст'!$M$95+'таблицы в текст'!$N$95)*('таблицы в текст'!$C$190/'таблицы в текст'!$O$95))</f>
        <v>284.4</v>
      </c>
      <c r="AA16" s="28">
        <f>SUM(AB16:AE16)</f>
        <v>0</v>
      </c>
      <c r="AB16" s="28">
        <f>IF(AB12=0,0,('таблицы в текст'!$C$95+'таблицы в текст'!$D$95+'таблицы в текст'!$E$95)*('таблицы в текст'!$C$190/'таблицы в текст'!$O$95))</f>
        <v>0</v>
      </c>
      <c r="AC16" s="28">
        <f>IF(AC12=0,0,('таблицы в текст'!$F$95+'таблицы в текст'!$G$95+'таблицы в текст'!$H$95)*('таблицы в текст'!$C$190/'таблицы в текст'!$O$95))</f>
        <v>0</v>
      </c>
      <c r="AD16" s="28">
        <f>IF(AD12=0,0,('таблицы в текст'!$I$95+'таблицы в текст'!$J$95+'таблицы в текст'!$K$95)*('таблицы в текст'!$C$190/'таблицы в текст'!$O$95))</f>
        <v>0</v>
      </c>
      <c r="AE16" s="28">
        <f>IF(AE12=0,0,('таблицы в текст'!$L$95+'таблицы в текст'!$M$95+'таблицы в текст'!$N$95)*('таблицы в текст'!$C$190/'таблицы в текст'!$O$95))</f>
        <v>0</v>
      </c>
      <c r="AF16" s="28">
        <f t="shared" si="7"/>
        <v>2775.6</v>
      </c>
      <c r="AG16" s="176"/>
      <c r="AH16" s="184"/>
      <c r="AI16" s="184"/>
      <c r="AJ16" s="185"/>
      <c r="AK16" s="176"/>
      <c r="AL16" s="176"/>
      <c r="AM16" s="176"/>
      <c r="AN16" s="176"/>
      <c r="AO16" s="11"/>
      <c r="AP16" s="11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1:94" s="8" customFormat="1" ht="15" customHeight="1">
      <c r="A17" s="135" t="str">
        <f>'таблицы в текст'!B194</f>
        <v>Расходы на электроэнергию</v>
      </c>
      <c r="B17" s="28">
        <f>SUM(C17:F17)</f>
        <v>29.473599999999998</v>
      </c>
      <c r="C17" s="28">
        <f>'таблицы в текст'!$C$194/$G$12*C12</f>
        <v>0</v>
      </c>
      <c r="D17" s="28">
        <f>'таблицы в текст'!$C$194/$G$12*D12</f>
        <v>0</v>
      </c>
      <c r="E17" s="28">
        <f>'таблицы в текст'!$C$194/$G$12*E12</f>
        <v>0</v>
      </c>
      <c r="F17" s="28">
        <f>'таблицы в текст'!$C$194/$G$12*F12</f>
        <v>29.473599999999998</v>
      </c>
      <c r="G17" s="28">
        <f>SUM(H17:K17)</f>
        <v>111.99967999999998</v>
      </c>
      <c r="H17" s="28">
        <f>'таблицы в текст'!$C$194/$G$12*H12</f>
        <v>25.846079999999997</v>
      </c>
      <c r="I17" s="28">
        <f>'таблицы в текст'!$C$194/$G$12*I12</f>
        <v>26.752959999999998</v>
      </c>
      <c r="J17" s="28">
        <f>'таблицы в текст'!$C$194/$G$12*J12</f>
        <v>29.927039999999998</v>
      </c>
      <c r="K17" s="28">
        <f>'таблицы в текст'!$C$194/$G$12*K12</f>
        <v>29.473599999999998</v>
      </c>
      <c r="L17" s="28">
        <f>SUM(M17:P17)</f>
        <v>111.99967999999998</v>
      </c>
      <c r="M17" s="28">
        <f>'таблицы в текст'!$C$194/$G$12*M12</f>
        <v>25.846079999999997</v>
      </c>
      <c r="N17" s="28">
        <f>'таблицы в текст'!$C$194/$G$12*N12</f>
        <v>26.752959999999998</v>
      </c>
      <c r="O17" s="28">
        <f>'таблицы в текст'!$C$194/$G$12*O12</f>
        <v>29.927039999999998</v>
      </c>
      <c r="P17" s="28">
        <f>'таблицы в текст'!$C$194/$G$12*P12</f>
        <v>29.473599999999998</v>
      </c>
      <c r="Q17" s="28">
        <f>SUM(R17:U17)</f>
        <v>111.99967999999998</v>
      </c>
      <c r="R17" s="28">
        <f>'таблицы в текст'!$C$194/$G$12*R12</f>
        <v>25.846079999999997</v>
      </c>
      <c r="S17" s="28">
        <f>'таблицы в текст'!$C$194/$G$12*S12</f>
        <v>26.752959999999998</v>
      </c>
      <c r="T17" s="28">
        <f>'таблицы в текст'!$C$194/$G$12*T12</f>
        <v>29.927039999999998</v>
      </c>
      <c r="U17" s="28">
        <f>'таблицы в текст'!$C$194/$G$12*U12</f>
        <v>29.473599999999998</v>
      </c>
      <c r="V17" s="28">
        <f aca="true" t="shared" si="8" ref="V17:V30">SUM(W17:Z17)</f>
        <v>111.99967999999998</v>
      </c>
      <c r="W17" s="28">
        <f>'таблицы в текст'!$C$194/$G$12*W12</f>
        <v>25.846079999999997</v>
      </c>
      <c r="X17" s="28">
        <f>'таблицы в текст'!$C$194/$G$12*X12</f>
        <v>26.752959999999998</v>
      </c>
      <c r="Y17" s="28">
        <f>'таблицы в текст'!$C$194/$G$12*Y12</f>
        <v>29.927039999999998</v>
      </c>
      <c r="Z17" s="28">
        <f>'таблицы в текст'!$C$194/$G$12*Z12</f>
        <v>29.473599999999998</v>
      </c>
      <c r="AA17" s="29">
        <f t="shared" si="5"/>
        <v>0</v>
      </c>
      <c r="AB17" s="28">
        <f>'таблицы в текст'!$C$194/$G$12*AB12</f>
        <v>0</v>
      </c>
      <c r="AC17" s="28">
        <f>'таблицы в текст'!$C$194/$G$12*AC12</f>
        <v>0</v>
      </c>
      <c r="AD17" s="28">
        <f>'таблицы в текст'!$C$194/$G$12*AD12</f>
        <v>0</v>
      </c>
      <c r="AE17" s="28">
        <f>'таблицы в текст'!$C$194/$G$12*AE12</f>
        <v>0</v>
      </c>
      <c r="AF17" s="28">
        <f t="shared" si="7"/>
        <v>477.4723199999999</v>
      </c>
      <c r="AG17" s="176"/>
      <c r="AH17" s="184"/>
      <c r="AI17" s="184"/>
      <c r="AJ17" s="185"/>
      <c r="AK17" s="176"/>
      <c r="AL17" s="176"/>
      <c r="AM17" s="176"/>
      <c r="AN17" s="176"/>
      <c r="AO17" s="11"/>
      <c r="AP17" s="11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1:94" s="8" customFormat="1" ht="15" customHeight="1">
      <c r="A18" s="135" t="s">
        <v>317</v>
      </c>
      <c r="B18" s="28">
        <f>SUM(C18:F18)</f>
        <v>882.9140462427746</v>
      </c>
      <c r="C18" s="28">
        <f>IF(C12=0,0,('таблицы в текст'!$C$95+'таблицы в текст'!$D$95+'таблицы в текст'!$E$95)*('таблицы в текст'!$C$192/'таблицы в текст'!$O$95))</f>
        <v>0</v>
      </c>
      <c r="D18" s="28">
        <f>IF(D12=0,0,('таблицы в текст'!$F$95+'таблицы в текст'!$G$95+'таблицы в текст'!$H$95)*('таблицы в текст'!$C$192/'таблицы в текст'!$O$95))</f>
        <v>0</v>
      </c>
      <c r="E18" s="28">
        <f>IF(E12=0,0,('таблицы в текст'!$I$95+'таблицы в текст'!$J$95+'таблицы в текст'!$K$95)*('таблицы в текст'!$C$192/'таблицы в текст'!$O$95))</f>
        <v>0</v>
      </c>
      <c r="F18" s="28">
        <f>IF(F12=0,0,('таблицы в текст'!$L$95+'таблицы в текст'!$M$95+'таблицы в текст'!$N$95)*('таблицы в текст'!$C$192/'таблицы в текст'!$O$95))</f>
        <v>882.9140462427746</v>
      </c>
      <c r="G18" s="28">
        <f>SUM(H18:K18)</f>
        <v>1933.4700000000003</v>
      </c>
      <c r="H18" s="28">
        <f>IF(H12=0,0,('таблицы в текст'!$C$95+'таблицы в текст'!$D$95+'таблицы в текст'!$E$95)*('таблицы в текст'!$C$192/'таблицы в текст'!$O$95))</f>
        <v>715.2721387283237</v>
      </c>
      <c r="I18" s="28">
        <f>IF(I12=0,0,('таблицы в текст'!$F$95+'таблицы в текст'!$G$95+'таблицы в текст'!$H$95)*('таблицы в текст'!$C$192/'таблицы в текст'!$O$95))</f>
        <v>335.28381502890176</v>
      </c>
      <c r="J18" s="28">
        <f>IF(J12=0,0,('таблицы в текст'!$I$95+'таблицы в текст'!$J$95+'таблицы в текст'!$K$95)*('таблицы в текст'!$C$192/'таблицы в текст'!$O$95))</f>
        <v>0</v>
      </c>
      <c r="K18" s="28">
        <f>IF(K12=0,0,('таблицы в текст'!$L$95+'таблицы в текст'!$M$95+'таблицы в текст'!$N$95)*('таблицы в текст'!$C$192/'таблицы в текст'!$O$95))</f>
        <v>882.9140462427746</v>
      </c>
      <c r="L18" s="28">
        <f>SUM(M18:P18)</f>
        <v>1933.4700000000003</v>
      </c>
      <c r="M18" s="28">
        <f>IF(M12=0,0,('таблицы в текст'!$C$95+'таблицы в текст'!$D$95+'таблицы в текст'!$E$95)*('таблицы в текст'!$C$192/'таблицы в текст'!$O$95))</f>
        <v>715.2721387283237</v>
      </c>
      <c r="N18" s="28">
        <f>IF(N12=0,0,('таблицы в текст'!$F$95+'таблицы в текст'!$G$95+'таблицы в текст'!$H$95)*('таблицы в текст'!$C$192/'таблицы в текст'!$O$95))</f>
        <v>335.28381502890176</v>
      </c>
      <c r="O18" s="28">
        <f>IF(O12=0,0,('таблицы в текст'!$I$95+'таблицы в текст'!$J$95+'таблицы в текст'!$K$95)*('таблицы в текст'!$C$192/'таблицы в текст'!$O$95))</f>
        <v>0</v>
      </c>
      <c r="P18" s="28">
        <f>IF(P12=0,0,('таблицы в текст'!$L$95+'таблицы в текст'!$M$95+'таблицы в текст'!$N$95)*('таблицы в текст'!$C$192/'таблицы в текст'!$O$95))</f>
        <v>882.9140462427746</v>
      </c>
      <c r="Q18" s="28">
        <f>SUM(R18:U18)</f>
        <v>1933.4700000000003</v>
      </c>
      <c r="R18" s="28">
        <f>IF(R12=0,0,('таблицы в текст'!$C$95+'таблицы в текст'!$D$95+'таблицы в текст'!$E$95)*('таблицы в текст'!$C$192/'таблицы в текст'!$O$95))</f>
        <v>715.2721387283237</v>
      </c>
      <c r="S18" s="28">
        <f>IF(S12=0,0,('таблицы в текст'!$F$95+'таблицы в текст'!$G$95+'таблицы в текст'!$H$95)*('таблицы в текст'!$C$192/'таблицы в текст'!$O$95))</f>
        <v>335.28381502890176</v>
      </c>
      <c r="T18" s="28">
        <f>IF(T12=0,0,('таблицы в текст'!$I$95+'таблицы в текст'!$J$95+'таблицы в текст'!$K$95)*('таблицы в текст'!$C$192/'таблицы в текст'!$O$95))</f>
        <v>0</v>
      </c>
      <c r="U18" s="28">
        <f>IF(U12=0,0,('таблицы в текст'!$L$95+'таблицы в текст'!$M$95+'таблицы в текст'!$N$95)*('таблицы в текст'!$C$192/'таблицы в текст'!$O$95))</f>
        <v>882.9140462427746</v>
      </c>
      <c r="V18" s="28">
        <f>SUM(W18:Z18)</f>
        <v>1933.4700000000003</v>
      </c>
      <c r="W18" s="28">
        <f>IF(W12=0,0,('таблицы в текст'!$C$95+'таблицы в текст'!$D$95+'таблицы в текст'!$E$95)*('таблицы в текст'!$C$192/'таблицы в текст'!$O$95))</f>
        <v>715.2721387283237</v>
      </c>
      <c r="X18" s="28">
        <f>IF(X12=0,0,('таблицы в текст'!$F$95+'таблицы в текст'!$G$95+'таблицы в текст'!$H$95)*('таблицы в текст'!$C$192/'таблицы в текст'!$O$95))</f>
        <v>335.28381502890176</v>
      </c>
      <c r="Y18" s="28">
        <f>IF(Y12=0,0,('таблицы в текст'!$I$95+'таблицы в текст'!$J$95+'таблицы в текст'!$K$95)*('таблицы в текст'!$C$192/'таблицы в текст'!$O$95))</f>
        <v>0</v>
      </c>
      <c r="Z18" s="28">
        <f>IF(Z12=0,0,('таблицы в текст'!$L$95+'таблицы в текст'!$M$95+'таблицы в текст'!$N$95)*('таблицы в текст'!$C$192/'таблицы в текст'!$O$95))</f>
        <v>882.9140462427746</v>
      </c>
      <c r="AA18" s="28">
        <f>SUM(AB18:AE18)</f>
        <v>0</v>
      </c>
      <c r="AB18" s="28">
        <f>IF(AB12=0,0,('таблицы в текст'!$C$95+'таблицы в текст'!$D$95+'таблицы в текст'!$E$95)*('таблицы в текст'!$C$192/'таблицы в текст'!$O$95))</f>
        <v>0</v>
      </c>
      <c r="AC18" s="28">
        <f>IF(AC12=0,0,('таблицы в текст'!$F$95+'таблицы в текст'!$G$95+'таблицы в текст'!$H$95)*('таблицы в текст'!$C$192/'таблицы в текст'!$O$95))</f>
        <v>0</v>
      </c>
      <c r="AD18" s="28">
        <f>IF(AD12=0,0,('таблицы в текст'!$I$95+'таблицы в текст'!$J$95+'таблицы в текст'!$K$95)*('таблицы в текст'!$C$192/'таблицы в текст'!$O$95))</f>
        <v>0</v>
      </c>
      <c r="AE18" s="28">
        <f>IF(AE12=0,0,('таблицы в текст'!$L$95+'таблицы в текст'!$M$95+'таблицы в текст'!$N$95)*('таблицы в текст'!$C$192/'таблицы в текст'!$O$95))</f>
        <v>0</v>
      </c>
      <c r="AF18" s="28">
        <f t="shared" si="7"/>
        <v>8616.794046242776</v>
      </c>
      <c r="AG18" s="176"/>
      <c r="AH18" s="184"/>
      <c r="AI18" s="184"/>
      <c r="AJ18" s="185"/>
      <c r="AK18" s="176"/>
      <c r="AL18" s="176"/>
      <c r="AM18" s="176"/>
      <c r="AN18" s="176"/>
      <c r="AO18" s="11"/>
      <c r="AP18" s="11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1:94" s="8" customFormat="1" ht="19.5" customHeight="1">
      <c r="A19" s="12" t="s">
        <v>152</v>
      </c>
      <c r="B19" s="28">
        <f aca="true" t="shared" si="9" ref="B19:K19">B12-B13</f>
        <v>3129.646291110435</v>
      </c>
      <c r="C19" s="28">
        <f t="shared" si="9"/>
        <v>0</v>
      </c>
      <c r="D19" s="28">
        <f t="shared" si="9"/>
        <v>0</v>
      </c>
      <c r="E19" s="28">
        <f t="shared" si="9"/>
        <v>0</v>
      </c>
      <c r="F19" s="28">
        <f t="shared" si="9"/>
        <v>3129.646291110435</v>
      </c>
      <c r="G19" s="28">
        <f t="shared" si="9"/>
        <v>14771.9624</v>
      </c>
      <c r="H19" s="28">
        <f t="shared" si="9"/>
        <v>2863.9077886349487</v>
      </c>
      <c r="I19" s="28">
        <f t="shared" si="9"/>
        <v>3784.853578878098</v>
      </c>
      <c r="J19" s="28">
        <f t="shared" si="9"/>
        <v>4993.554741376519</v>
      </c>
      <c r="K19" s="28">
        <f t="shared" si="9"/>
        <v>3129.646291110435</v>
      </c>
      <c r="L19" s="28">
        <f aca="true" t="shared" si="10" ref="L19:AE19">L12-L13</f>
        <v>14771.9624</v>
      </c>
      <c r="M19" s="28">
        <f t="shared" si="10"/>
        <v>2863.9077886349487</v>
      </c>
      <c r="N19" s="28">
        <f t="shared" si="10"/>
        <v>3784.853578878098</v>
      </c>
      <c r="O19" s="28">
        <f t="shared" si="10"/>
        <v>4993.554741376519</v>
      </c>
      <c r="P19" s="28">
        <f t="shared" si="10"/>
        <v>3129.646291110435</v>
      </c>
      <c r="Q19" s="28">
        <f t="shared" si="10"/>
        <v>14771.9624</v>
      </c>
      <c r="R19" s="28">
        <f t="shared" si="10"/>
        <v>2863.9077886349487</v>
      </c>
      <c r="S19" s="28">
        <f t="shared" si="10"/>
        <v>3784.853578878098</v>
      </c>
      <c r="T19" s="28">
        <f t="shared" si="10"/>
        <v>4993.554741376519</v>
      </c>
      <c r="U19" s="28">
        <f t="shared" si="10"/>
        <v>3129.646291110435</v>
      </c>
      <c r="V19" s="28">
        <f t="shared" si="8"/>
        <v>14771.9624</v>
      </c>
      <c r="W19" s="28">
        <f t="shared" si="10"/>
        <v>2863.9077886349487</v>
      </c>
      <c r="X19" s="28">
        <f t="shared" si="10"/>
        <v>3784.853578878098</v>
      </c>
      <c r="Y19" s="28">
        <f t="shared" si="10"/>
        <v>4993.554741376519</v>
      </c>
      <c r="Z19" s="28">
        <f t="shared" si="10"/>
        <v>3129.646291110435</v>
      </c>
      <c r="AA19" s="29">
        <f t="shared" si="5"/>
        <v>0</v>
      </c>
      <c r="AB19" s="28">
        <f t="shared" si="10"/>
        <v>0</v>
      </c>
      <c r="AC19" s="28">
        <f t="shared" si="10"/>
        <v>0</v>
      </c>
      <c r="AD19" s="28">
        <f t="shared" si="10"/>
        <v>0</v>
      </c>
      <c r="AE19" s="28">
        <f t="shared" si="10"/>
        <v>0</v>
      </c>
      <c r="AF19" s="28">
        <f t="shared" si="7"/>
        <v>62217.49589111043</v>
      </c>
      <c r="AG19" s="176"/>
      <c r="AH19" s="184"/>
      <c r="AI19" s="184"/>
      <c r="AJ19" s="185"/>
      <c r="AK19" s="176"/>
      <c r="AL19" s="176"/>
      <c r="AM19" s="176"/>
      <c r="AN19" s="176"/>
      <c r="AO19" s="11"/>
      <c r="AP19" s="11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1:94" s="8" customFormat="1" ht="19.5" customHeight="1">
      <c r="A20" s="12" t="s">
        <v>153</v>
      </c>
      <c r="B20" s="28">
        <f aca="true" t="shared" si="11" ref="B20:K20">B22+B23+B24+B25+B26+B27</f>
        <v>2126.036121142857</v>
      </c>
      <c r="C20" s="28">
        <f t="shared" si="11"/>
        <v>0</v>
      </c>
      <c r="D20" s="28">
        <f t="shared" si="11"/>
        <v>0</v>
      </c>
      <c r="E20" s="28">
        <f t="shared" si="11"/>
        <v>0</v>
      </c>
      <c r="F20" s="28">
        <f t="shared" si="11"/>
        <v>2126.036121142857</v>
      </c>
      <c r="G20" s="28">
        <f t="shared" si="11"/>
        <v>8391.42013257143</v>
      </c>
      <c r="H20" s="28">
        <f t="shared" si="11"/>
        <v>2126.036121142857</v>
      </c>
      <c r="I20" s="28">
        <f t="shared" si="11"/>
        <v>2083.764489142857</v>
      </c>
      <c r="J20" s="28">
        <f t="shared" si="11"/>
        <v>2055.5834011428574</v>
      </c>
      <c r="K20" s="28">
        <f t="shared" si="11"/>
        <v>2126.036121142857</v>
      </c>
      <c r="L20" s="28">
        <f aca="true" t="shared" si="12" ref="L20:AE20">L22+L23+L24+L25+L26+L27</f>
        <v>8391.42013257143</v>
      </c>
      <c r="M20" s="28">
        <f t="shared" si="12"/>
        <v>2126.036121142857</v>
      </c>
      <c r="N20" s="28">
        <f t="shared" si="12"/>
        <v>2083.764489142857</v>
      </c>
      <c r="O20" s="28">
        <f t="shared" si="12"/>
        <v>2055.5834011428574</v>
      </c>
      <c r="P20" s="28">
        <f t="shared" si="12"/>
        <v>2126.036121142857</v>
      </c>
      <c r="Q20" s="28">
        <f t="shared" si="12"/>
        <v>8391.42013257143</v>
      </c>
      <c r="R20" s="28">
        <f t="shared" si="12"/>
        <v>2126.036121142857</v>
      </c>
      <c r="S20" s="28">
        <f t="shared" si="12"/>
        <v>2083.764489142857</v>
      </c>
      <c r="T20" s="28">
        <f t="shared" si="12"/>
        <v>2055.5834011428574</v>
      </c>
      <c r="U20" s="28">
        <f t="shared" si="12"/>
        <v>2126.036121142857</v>
      </c>
      <c r="V20" s="28">
        <f t="shared" si="8"/>
        <v>8391.42013257143</v>
      </c>
      <c r="W20" s="28">
        <f t="shared" si="12"/>
        <v>2126.036121142857</v>
      </c>
      <c r="X20" s="28">
        <f t="shared" si="12"/>
        <v>2083.764489142857</v>
      </c>
      <c r="Y20" s="28">
        <f t="shared" si="12"/>
        <v>2055.5834011428574</v>
      </c>
      <c r="Z20" s="28">
        <f t="shared" si="12"/>
        <v>2126.036121142857</v>
      </c>
      <c r="AA20" s="29">
        <f t="shared" si="5"/>
        <v>0</v>
      </c>
      <c r="AB20" s="28">
        <f t="shared" si="12"/>
        <v>0</v>
      </c>
      <c r="AC20" s="28">
        <f t="shared" si="12"/>
        <v>0</v>
      </c>
      <c r="AD20" s="28">
        <f t="shared" si="12"/>
        <v>0</v>
      </c>
      <c r="AE20" s="28">
        <f t="shared" si="12"/>
        <v>0</v>
      </c>
      <c r="AF20" s="28">
        <f t="shared" si="7"/>
        <v>35691.71665142858</v>
      </c>
      <c r="AG20" s="176"/>
      <c r="AH20" s="184"/>
      <c r="AI20" s="184"/>
      <c r="AJ20" s="185"/>
      <c r="AK20" s="176"/>
      <c r="AL20" s="176"/>
      <c r="AM20" s="176"/>
      <c r="AN20" s="176"/>
      <c r="AO20" s="11"/>
      <c r="AP20" s="11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</row>
    <row r="21" spans="1:94" s="8" customFormat="1" ht="15.75" customHeight="1">
      <c r="A21" s="12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f t="shared" si="8"/>
        <v>0</v>
      </c>
      <c r="W21" s="28"/>
      <c r="X21" s="28"/>
      <c r="Y21" s="28"/>
      <c r="Z21" s="28"/>
      <c r="AA21" s="29">
        <f t="shared" si="5"/>
        <v>0</v>
      </c>
      <c r="AB21" s="28"/>
      <c r="AC21" s="28"/>
      <c r="AD21" s="28"/>
      <c r="AE21" s="28"/>
      <c r="AF21" s="28">
        <f t="shared" si="7"/>
        <v>0</v>
      </c>
      <c r="AG21" s="176"/>
      <c r="AH21" s="184"/>
      <c r="AI21" s="184"/>
      <c r="AJ21" s="185"/>
      <c r="AK21" s="176"/>
      <c r="AL21" s="176"/>
      <c r="AM21" s="176"/>
      <c r="AN21" s="176"/>
      <c r="AO21" s="11"/>
      <c r="AP21" s="11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1:94" s="8" customFormat="1" ht="19.5" customHeight="1">
      <c r="A22" s="135" t="s">
        <v>318</v>
      </c>
      <c r="B22" s="28">
        <f aca="true" t="shared" si="13" ref="B22:B27">SUM(C22:F22)</f>
        <v>991.5</v>
      </c>
      <c r="C22" s="28">
        <f>IF(C12=0,0,'таблицы в текст'!$C$193/12*3)</f>
        <v>0</v>
      </c>
      <c r="D22" s="28">
        <f>IF(D12=0,0,'таблицы в текст'!$C$193/12*3)</f>
        <v>0</v>
      </c>
      <c r="E22" s="28">
        <f>IF(E12=0,0,'таблицы в текст'!$C$193/12*3)</f>
        <v>0</v>
      </c>
      <c r="F22" s="28">
        <f>IF(F12=0,0,'таблицы в текст'!$C$193/12*3)</f>
        <v>991.5</v>
      </c>
      <c r="G22" s="28">
        <f aca="true" t="shared" si="14" ref="G22:G27">SUM(H22:K22)</f>
        <v>3966</v>
      </c>
      <c r="H22" s="28">
        <f>IF(H12=0,0,'таблицы в текст'!$C$193/12*3)</f>
        <v>991.5</v>
      </c>
      <c r="I22" s="28">
        <f>IF(I12=0,0,'таблицы в текст'!$C$193/12*3)</f>
        <v>991.5</v>
      </c>
      <c r="J22" s="28">
        <f>IF(J12=0,0,'таблицы в текст'!$C$193/12*3)</f>
        <v>991.5</v>
      </c>
      <c r="K22" s="28">
        <f>IF(K12=0,0,'таблицы в текст'!$C$193/12*3)</f>
        <v>991.5</v>
      </c>
      <c r="L22" s="28">
        <f aca="true" t="shared" si="15" ref="L22:L27">SUM(M22:P22)</f>
        <v>3966</v>
      </c>
      <c r="M22" s="28">
        <f>IF(M12=0,0,'таблицы в текст'!$C$193/12*3)</f>
        <v>991.5</v>
      </c>
      <c r="N22" s="28">
        <f>IF(N12=0,0,'таблицы в текст'!$C$193/12*3)</f>
        <v>991.5</v>
      </c>
      <c r="O22" s="28">
        <f>IF(O12=0,0,'таблицы в текст'!$C$193/12*3)</f>
        <v>991.5</v>
      </c>
      <c r="P22" s="28">
        <f>IF(P12=0,0,'таблицы в текст'!$C$193/12*3)</f>
        <v>991.5</v>
      </c>
      <c r="Q22" s="28">
        <f aca="true" t="shared" si="16" ref="Q22:Q27">SUM(R22:U22)</f>
        <v>3966</v>
      </c>
      <c r="R22" s="28">
        <f>IF(R12=0,0,'таблицы в текст'!$C$193/12*3)</f>
        <v>991.5</v>
      </c>
      <c r="S22" s="28">
        <f>IF(S12=0,0,'таблицы в текст'!$C$193/12*3)</f>
        <v>991.5</v>
      </c>
      <c r="T22" s="28">
        <f>IF(T12=0,0,'таблицы в текст'!$C$193/12*3)</f>
        <v>991.5</v>
      </c>
      <c r="U22" s="28">
        <f>IF(U12=0,0,'таблицы в текст'!$C$193/12*3)</f>
        <v>991.5</v>
      </c>
      <c r="V22" s="28">
        <f>SUM(W22:Z22)</f>
        <v>3966</v>
      </c>
      <c r="W22" s="28">
        <f>IF(W12=0,0,'таблицы в текст'!$C$193/12*3)</f>
        <v>991.5</v>
      </c>
      <c r="X22" s="28">
        <f>IF(X12=0,0,'таблицы в текст'!$C$193/12*3)</f>
        <v>991.5</v>
      </c>
      <c r="Y22" s="28">
        <f>IF(Y12=0,0,'таблицы в текст'!$C$193/12*3)</f>
        <v>991.5</v>
      </c>
      <c r="Z22" s="28">
        <f>IF(Z12=0,0,'таблицы в текст'!$C$193/12*3)</f>
        <v>991.5</v>
      </c>
      <c r="AA22" s="28">
        <f>SUM(AB22:AE22)</f>
        <v>0</v>
      </c>
      <c r="AB22" s="28">
        <f>IF(AB12=0,0,'таблицы в текст'!$C$193/12*3)</f>
        <v>0</v>
      </c>
      <c r="AC22" s="28">
        <f>IF(AC12=0,0,'таблицы в текст'!$C$193/12*3)</f>
        <v>0</v>
      </c>
      <c r="AD22" s="28">
        <f>IF(AD12=0,0,'таблицы в текст'!$C$193/12*3)</f>
        <v>0</v>
      </c>
      <c r="AE22" s="28">
        <f>IF(AE12=0,0,'таблицы в текст'!$C$193/12*3)</f>
        <v>0</v>
      </c>
      <c r="AF22" s="28">
        <f t="shared" si="7"/>
        <v>16855.5</v>
      </c>
      <c r="AG22" s="176"/>
      <c r="AH22" s="184"/>
      <c r="AI22" s="184"/>
      <c r="AJ22" s="185"/>
      <c r="AK22" s="176"/>
      <c r="AL22" s="176"/>
      <c r="AM22" s="176"/>
      <c r="AN22" s="176"/>
      <c r="AO22" s="11"/>
      <c r="AP22" s="11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</row>
    <row r="23" spans="1:94" s="8" customFormat="1" ht="19.5" customHeight="1">
      <c r="A23" s="135" t="str">
        <f>'таблицы в текст'!B196</f>
        <v>Расходы на отопление</v>
      </c>
      <c r="B23" s="28">
        <f t="shared" si="13"/>
        <v>84.54326400000001</v>
      </c>
      <c r="C23" s="28">
        <f>IF(C12=0,0,'таблицы в текст'!$C$196/8*3)</f>
        <v>0</v>
      </c>
      <c r="D23" s="28">
        <f>IF(D12=0,0,'таблицы в текст'!$C$196/8*1.5)</f>
        <v>0</v>
      </c>
      <c r="E23" s="28">
        <f>IF(E12=0,0,'таблицы в текст'!$C$196/8*0.5)</f>
        <v>0</v>
      </c>
      <c r="F23" s="28">
        <f>IF(F12=0,0,'таблицы в текст'!$C$196/8*3)</f>
        <v>84.54326400000001</v>
      </c>
      <c r="G23" s="28">
        <f t="shared" si="14"/>
        <v>225.44870400000002</v>
      </c>
      <c r="H23" s="28">
        <f>IF(H12=0,0,'таблицы в текст'!$C$196/8*3)</f>
        <v>84.54326400000001</v>
      </c>
      <c r="I23" s="28">
        <f>IF(I12=0,0,'таблицы в текст'!$C$196/8*1.5)</f>
        <v>42.271632000000004</v>
      </c>
      <c r="J23" s="28">
        <f>IF(J12=0,0,'таблицы в текст'!$C$196/8*0.5)</f>
        <v>14.090544000000001</v>
      </c>
      <c r="K23" s="28">
        <f>IF(K12=0,0,'таблицы в текст'!$C$196/8*3)</f>
        <v>84.54326400000001</v>
      </c>
      <c r="L23" s="28">
        <f t="shared" si="15"/>
        <v>225.44870400000002</v>
      </c>
      <c r="M23" s="28">
        <f>IF(M12=0,0,'таблицы в текст'!$C$196/8*3)</f>
        <v>84.54326400000001</v>
      </c>
      <c r="N23" s="28">
        <f>IF(N12=0,0,'таблицы в текст'!$C$196/8*1.5)</f>
        <v>42.271632000000004</v>
      </c>
      <c r="O23" s="28">
        <f>IF(O12=0,0,'таблицы в текст'!$C$196/8*0.5)</f>
        <v>14.090544000000001</v>
      </c>
      <c r="P23" s="28">
        <f>IF(P12=0,0,'таблицы в текст'!$C$196/8*3)</f>
        <v>84.54326400000001</v>
      </c>
      <c r="Q23" s="28">
        <f t="shared" si="16"/>
        <v>225.44870400000002</v>
      </c>
      <c r="R23" s="28">
        <f>IF(R12=0,0,'таблицы в текст'!$C$196/8*3)</f>
        <v>84.54326400000001</v>
      </c>
      <c r="S23" s="28">
        <f>IF(S12=0,0,'таблицы в текст'!$C$196/8*1.5)</f>
        <v>42.271632000000004</v>
      </c>
      <c r="T23" s="28">
        <f>IF(T12=0,0,'таблицы в текст'!$C$196/8*0.5)</f>
        <v>14.090544000000001</v>
      </c>
      <c r="U23" s="28">
        <f>IF(U12=0,0,'таблицы в текст'!$C$196/8*3)</f>
        <v>84.54326400000001</v>
      </c>
      <c r="V23" s="28">
        <f t="shared" si="8"/>
        <v>225.44870400000002</v>
      </c>
      <c r="W23" s="28">
        <f>IF(W12=0,0,'таблицы в текст'!$C$196/8*3)</f>
        <v>84.54326400000001</v>
      </c>
      <c r="X23" s="28">
        <f>IF(X12=0,0,'таблицы в текст'!$C$196/8*1.5)</f>
        <v>42.271632000000004</v>
      </c>
      <c r="Y23" s="28">
        <f>IF(Y12=0,0,'таблицы в текст'!$C$196/8*0.5)</f>
        <v>14.090544000000001</v>
      </c>
      <c r="Z23" s="28">
        <f>IF(Z12=0,0,'таблицы в текст'!$C$196/8*3)</f>
        <v>84.54326400000001</v>
      </c>
      <c r="AA23" s="29">
        <f t="shared" si="5"/>
        <v>0</v>
      </c>
      <c r="AB23" s="28">
        <f>IF(AB12=0,0,'таблицы в текст'!$C$196/8*3)</f>
        <v>0</v>
      </c>
      <c r="AC23" s="28">
        <f>IF(AC12=0,0,'таблицы в текст'!$C$196/8*1.5)</f>
        <v>0</v>
      </c>
      <c r="AD23" s="28">
        <f>IF(AD12=0,0,'таблицы в текст'!$C$196/8*0.5)</f>
        <v>0</v>
      </c>
      <c r="AE23" s="28">
        <f>IF(AE12=0,0,'таблицы в текст'!$C$196/8*3)</f>
        <v>0</v>
      </c>
      <c r="AF23" s="28">
        <f t="shared" si="7"/>
        <v>986.3380800000001</v>
      </c>
      <c r="AG23" s="176"/>
      <c r="AH23" s="184"/>
      <c r="AI23" s="184"/>
      <c r="AJ23" s="185"/>
      <c r="AK23" s="176"/>
      <c r="AL23" s="176"/>
      <c r="AM23" s="176"/>
      <c r="AN23" s="176"/>
      <c r="AO23" s="11"/>
      <c r="AP23" s="11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</row>
    <row r="24" spans="1:94" s="8" customFormat="1" ht="19.5" customHeight="1">
      <c r="A24" s="135" t="str">
        <f>'таблицы в текст'!B197</f>
        <v>Расходы на аренду</v>
      </c>
      <c r="B24" s="28">
        <f t="shared" si="13"/>
        <v>96</v>
      </c>
      <c r="C24" s="28">
        <f>IF(C12=0,0,'таблицы в текст'!$C$197/12*3)</f>
        <v>0</v>
      </c>
      <c r="D24" s="28">
        <f>IF(D12=0,0,'таблицы в текст'!$C$197/12*3)</f>
        <v>0</v>
      </c>
      <c r="E24" s="28">
        <f>IF(E12=0,0,'таблицы в текст'!$C$197/12*3)</f>
        <v>0</v>
      </c>
      <c r="F24" s="28">
        <f>IF(F12=0,0,'таблицы в текст'!$C$197/12*3)</f>
        <v>96</v>
      </c>
      <c r="G24" s="28">
        <f t="shared" si="14"/>
        <v>384</v>
      </c>
      <c r="H24" s="28">
        <f>IF(H12=0,0,'таблицы в текст'!$C$197/12*3)</f>
        <v>96</v>
      </c>
      <c r="I24" s="28">
        <f>IF(I12=0,0,'таблицы в текст'!$C$197/12*3)</f>
        <v>96</v>
      </c>
      <c r="J24" s="28">
        <f>IF(J12=0,0,'таблицы в текст'!$C$197/12*3)</f>
        <v>96</v>
      </c>
      <c r="K24" s="28">
        <f>IF(K12=0,0,'таблицы в текст'!$C$197/12*3)</f>
        <v>96</v>
      </c>
      <c r="L24" s="28">
        <f t="shared" si="15"/>
        <v>384</v>
      </c>
      <c r="M24" s="28">
        <f>IF(M12=0,0,'таблицы в текст'!$C$197/12*3)</f>
        <v>96</v>
      </c>
      <c r="N24" s="28">
        <f>IF(N12=0,0,'таблицы в текст'!$C$197/12*3)</f>
        <v>96</v>
      </c>
      <c r="O24" s="28">
        <f>IF(O12=0,0,'таблицы в текст'!$C$197/12*3)</f>
        <v>96</v>
      </c>
      <c r="P24" s="28">
        <f>IF(P12=0,0,'таблицы в текст'!$C$197/12*3)</f>
        <v>96</v>
      </c>
      <c r="Q24" s="28">
        <f t="shared" si="16"/>
        <v>384</v>
      </c>
      <c r="R24" s="28">
        <f>IF(R12=0,0,'таблицы в текст'!$C$197/12*3)</f>
        <v>96</v>
      </c>
      <c r="S24" s="28">
        <f>IF(S12=0,0,'таблицы в текст'!$C$197/12*3)</f>
        <v>96</v>
      </c>
      <c r="T24" s="28">
        <f>IF(T12=0,0,'таблицы в текст'!$C$197/12*3)</f>
        <v>96</v>
      </c>
      <c r="U24" s="28">
        <f>IF(U12=0,0,'таблицы в текст'!$C$197/12*3)</f>
        <v>96</v>
      </c>
      <c r="V24" s="28">
        <f t="shared" si="8"/>
        <v>384</v>
      </c>
      <c r="W24" s="28">
        <f>IF(W12=0,0,'таблицы в текст'!$C$197/12*3)</f>
        <v>96</v>
      </c>
      <c r="X24" s="28">
        <f>IF(X12=0,0,'таблицы в текст'!$C$197/12*3)</f>
        <v>96</v>
      </c>
      <c r="Y24" s="28">
        <f>IF(Y12=0,0,'таблицы в текст'!$C$197/12*3)</f>
        <v>96</v>
      </c>
      <c r="Z24" s="28">
        <f>IF(Z12=0,0,'таблицы в текст'!$C$197/12*3)</f>
        <v>96</v>
      </c>
      <c r="AA24" s="29">
        <f t="shared" si="5"/>
        <v>0</v>
      </c>
      <c r="AB24" s="28">
        <f>IF(AB12=0,0,'таблицы в текст'!$C$197/12*3)</f>
        <v>0</v>
      </c>
      <c r="AC24" s="28">
        <f>IF(AC12=0,0,'таблицы в текст'!$C$197/12*3)</f>
        <v>0</v>
      </c>
      <c r="AD24" s="28">
        <f>IF(AD12=0,0,'таблицы в текст'!$C$197/12*3)</f>
        <v>0</v>
      </c>
      <c r="AE24" s="28">
        <f>IF(AE12=0,0,'таблицы в текст'!$C$197/12*3)</f>
        <v>0</v>
      </c>
      <c r="AF24" s="28">
        <f t="shared" si="7"/>
        <v>1632</v>
      </c>
      <c r="AG24" s="176"/>
      <c r="AH24" s="184"/>
      <c r="AI24" s="184"/>
      <c r="AJ24" s="185"/>
      <c r="AK24" s="176"/>
      <c r="AL24" s="176"/>
      <c r="AM24" s="176"/>
      <c r="AN24" s="176"/>
      <c r="AO24" s="11"/>
      <c r="AP24" s="11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</row>
    <row r="25" spans="1:94" s="8" customFormat="1" ht="19.5" customHeight="1">
      <c r="A25" s="135" t="str">
        <f>'таблицы в текст'!B198</f>
        <v>Амортизация</v>
      </c>
      <c r="B25" s="28">
        <f t="shared" si="13"/>
        <v>808.3142857142857</v>
      </c>
      <c r="C25" s="28">
        <f>IF(C12=0,0,'таблицы в текст'!$C$198/12*3)</f>
        <v>0</v>
      </c>
      <c r="D25" s="28">
        <f>IF(D12=0,0,'таблицы в текст'!$C$198/12*3)</f>
        <v>0</v>
      </c>
      <c r="E25" s="28">
        <f>IF(E12=0,0,'таблицы в текст'!$C$198/12*3)</f>
        <v>0</v>
      </c>
      <c r="F25" s="28">
        <f>IF(F12=0,0,'таблицы в текст'!$C$198/12*3)</f>
        <v>808.3142857142857</v>
      </c>
      <c r="G25" s="28">
        <f t="shared" si="14"/>
        <v>3233.2571428571428</v>
      </c>
      <c r="H25" s="28">
        <f>IF(H12=0,0,'таблицы в текст'!$C$198/12*3)</f>
        <v>808.3142857142857</v>
      </c>
      <c r="I25" s="28">
        <f>IF(I12=0,0,'таблицы в текст'!$C$198/12*3)</f>
        <v>808.3142857142857</v>
      </c>
      <c r="J25" s="28">
        <f>IF(J12=0,0,'таблицы в текст'!$C$198/12*3)</f>
        <v>808.3142857142857</v>
      </c>
      <c r="K25" s="28">
        <f>IF(K12=0,0,'таблицы в текст'!$C$198/12*3)</f>
        <v>808.3142857142857</v>
      </c>
      <c r="L25" s="28">
        <f t="shared" si="15"/>
        <v>3233.2571428571428</v>
      </c>
      <c r="M25" s="28">
        <f>IF(M12=0,0,'таблицы в текст'!$C$198/12*3)</f>
        <v>808.3142857142857</v>
      </c>
      <c r="N25" s="28">
        <f>IF(N12=0,0,'таблицы в текст'!$C$198/12*3)</f>
        <v>808.3142857142857</v>
      </c>
      <c r="O25" s="28">
        <f>IF(O12=0,0,'таблицы в текст'!$C$198/12*3)</f>
        <v>808.3142857142857</v>
      </c>
      <c r="P25" s="28">
        <f>IF(P12=0,0,'таблицы в текст'!$C$198/12*3)</f>
        <v>808.3142857142857</v>
      </c>
      <c r="Q25" s="28">
        <f t="shared" si="16"/>
        <v>3233.2571428571428</v>
      </c>
      <c r="R25" s="28">
        <f>IF(R12=0,0,'таблицы в текст'!$C$198/12*3)</f>
        <v>808.3142857142857</v>
      </c>
      <c r="S25" s="28">
        <f>IF(S12=0,0,'таблицы в текст'!$C$198/12*3)</f>
        <v>808.3142857142857</v>
      </c>
      <c r="T25" s="28">
        <f>IF(T12=0,0,'таблицы в текст'!$C$198/12*3)</f>
        <v>808.3142857142857</v>
      </c>
      <c r="U25" s="28">
        <f>IF(U12=0,0,'таблицы в текст'!$C$198/12*3)</f>
        <v>808.3142857142857</v>
      </c>
      <c r="V25" s="28">
        <f t="shared" si="8"/>
        <v>3233.2571428571428</v>
      </c>
      <c r="W25" s="28">
        <f>IF(W12=0,0,'таблицы в текст'!$C$198/12*3)</f>
        <v>808.3142857142857</v>
      </c>
      <c r="X25" s="28">
        <f>IF(X12=0,0,'таблицы в текст'!$C$198/12*3)</f>
        <v>808.3142857142857</v>
      </c>
      <c r="Y25" s="28">
        <f>IF(Y12=0,0,'таблицы в текст'!$C$198/12*3)</f>
        <v>808.3142857142857</v>
      </c>
      <c r="Z25" s="28">
        <f>IF(Z12=0,0,'таблицы в текст'!$C$198/12*3)</f>
        <v>808.3142857142857</v>
      </c>
      <c r="AA25" s="29">
        <f t="shared" si="5"/>
        <v>0</v>
      </c>
      <c r="AB25" s="28">
        <f>IF(AB12=0,0,'таблицы в текст'!$C$198/12*3)</f>
        <v>0</v>
      </c>
      <c r="AC25" s="28">
        <f>IF(AC12=0,0,'таблицы в текст'!$C$198/12*3)</f>
        <v>0</v>
      </c>
      <c r="AD25" s="28">
        <f>IF(AD12=0,0,'таблицы в текст'!$C$198/12*3)</f>
        <v>0</v>
      </c>
      <c r="AE25" s="28">
        <f>IF(AE12=0,0,'таблицы в текст'!$C$198/12*3)</f>
        <v>0</v>
      </c>
      <c r="AF25" s="28">
        <f t="shared" si="7"/>
        <v>13741.342857142856</v>
      </c>
      <c r="AG25" s="176"/>
      <c r="AH25" s="184"/>
      <c r="AI25" s="184"/>
      <c r="AJ25" s="185"/>
      <c r="AK25" s="176"/>
      <c r="AL25" s="176"/>
      <c r="AM25" s="176"/>
      <c r="AN25" s="176"/>
      <c r="AO25" s="11"/>
      <c r="AP25" s="11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</row>
    <row r="26" spans="1:94" s="8" customFormat="1" ht="19.5" customHeight="1">
      <c r="A26" s="135" t="str">
        <f>'таблицы в текст'!B199</f>
        <v>Прочие расходы</v>
      </c>
      <c r="B26" s="28">
        <f t="shared" si="13"/>
        <v>145.67857142857142</v>
      </c>
      <c r="C26" s="28">
        <f>IF(C12=0,0,'таблицы в текст'!$C$199/12*3)</f>
        <v>0</v>
      </c>
      <c r="D26" s="28">
        <f>IF(D12=0,0,'таблицы в текст'!$C$199/12*3)</f>
        <v>0</v>
      </c>
      <c r="E26" s="28">
        <f>IF(E12=0,0,'таблицы в текст'!$C$199/12*3)</f>
        <v>0</v>
      </c>
      <c r="F26" s="28">
        <f>IF(F12=0,0,'таблицы в текст'!$C$199/12*3)</f>
        <v>145.67857142857142</v>
      </c>
      <c r="G26" s="28">
        <f t="shared" si="14"/>
        <v>582.7142857142857</v>
      </c>
      <c r="H26" s="28">
        <f>IF(H12=0,0,'таблицы в текст'!$C$199/12*3)</f>
        <v>145.67857142857142</v>
      </c>
      <c r="I26" s="28">
        <f>IF(I12=0,0,'таблицы в текст'!$C$199/12*3)</f>
        <v>145.67857142857142</v>
      </c>
      <c r="J26" s="28">
        <f>IF(J12=0,0,'таблицы в текст'!$C$199/12*3)</f>
        <v>145.67857142857142</v>
      </c>
      <c r="K26" s="28">
        <f>IF(K12=0,0,'таблицы в текст'!$C$199/12*3)</f>
        <v>145.67857142857142</v>
      </c>
      <c r="L26" s="28">
        <f t="shared" si="15"/>
        <v>582.7142857142857</v>
      </c>
      <c r="M26" s="28">
        <f>IF(M12=0,0,'таблицы в текст'!$C$199/12*3)</f>
        <v>145.67857142857142</v>
      </c>
      <c r="N26" s="28">
        <f>IF(N12=0,0,'таблицы в текст'!$C$199/12*3)</f>
        <v>145.67857142857142</v>
      </c>
      <c r="O26" s="28">
        <f>IF(O12=0,0,'таблицы в текст'!$C$199/12*3)</f>
        <v>145.67857142857142</v>
      </c>
      <c r="P26" s="28">
        <f>IF(P12=0,0,'таблицы в текст'!$C$199/12*3)</f>
        <v>145.67857142857142</v>
      </c>
      <c r="Q26" s="28">
        <f t="shared" si="16"/>
        <v>582.7142857142857</v>
      </c>
      <c r="R26" s="28">
        <f>IF(R12=0,0,'таблицы в текст'!$C$199/12*3)</f>
        <v>145.67857142857142</v>
      </c>
      <c r="S26" s="28">
        <f>IF(S12=0,0,'таблицы в текст'!$C$199/12*3)</f>
        <v>145.67857142857142</v>
      </c>
      <c r="T26" s="28">
        <f>IF(T12=0,0,'таблицы в текст'!$C$199/12*3)</f>
        <v>145.67857142857142</v>
      </c>
      <c r="U26" s="28">
        <f>IF(U12=0,0,'таблицы в текст'!$C$199/12*3)</f>
        <v>145.67857142857142</v>
      </c>
      <c r="V26" s="28">
        <f t="shared" si="8"/>
        <v>582.7142857142857</v>
      </c>
      <c r="W26" s="28">
        <f>IF(W12=0,0,'таблицы в текст'!$C$199/12*3)</f>
        <v>145.67857142857142</v>
      </c>
      <c r="X26" s="28">
        <f>IF(X12=0,0,'таблицы в текст'!$C$199/12*3)</f>
        <v>145.67857142857142</v>
      </c>
      <c r="Y26" s="28">
        <f>IF(Y12=0,0,'таблицы в текст'!$C$199/12*3)</f>
        <v>145.67857142857142</v>
      </c>
      <c r="Z26" s="28">
        <f>IF(Z12=0,0,'таблицы в текст'!$C$199/12*3)</f>
        <v>145.67857142857142</v>
      </c>
      <c r="AA26" s="29">
        <f t="shared" si="5"/>
        <v>0</v>
      </c>
      <c r="AB26" s="28">
        <f>IF(AB12=0,0,'таблицы в текст'!$C$199/12*3)</f>
        <v>0</v>
      </c>
      <c r="AC26" s="28">
        <f>IF(AC12=0,0,'таблицы в текст'!$C$199/12*3)</f>
        <v>0</v>
      </c>
      <c r="AD26" s="28">
        <f>IF(AD12=0,0,'таблицы в текст'!$C$199/12*3)</f>
        <v>0</v>
      </c>
      <c r="AE26" s="28">
        <f>IF(AE12=0,0,'таблицы в текст'!$C$199/12*3)</f>
        <v>0</v>
      </c>
      <c r="AF26" s="28">
        <f t="shared" si="7"/>
        <v>2476.535714285714</v>
      </c>
      <c r="AG26" s="176"/>
      <c r="AH26" s="184"/>
      <c r="AI26" s="184"/>
      <c r="AJ26" s="185"/>
      <c r="AK26" s="176"/>
      <c r="AL26" s="176"/>
      <c r="AM26" s="176"/>
      <c r="AN26" s="176"/>
      <c r="AO26" s="11"/>
      <c r="AP26" s="11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</row>
    <row r="27" spans="1:94" s="8" customFormat="1" ht="19.5" customHeight="1" hidden="1">
      <c r="A27" s="135" t="s">
        <v>160</v>
      </c>
      <c r="B27" s="28">
        <f t="shared" si="13"/>
        <v>0</v>
      </c>
      <c r="C27" s="28">
        <f>IF(C12=0,0,'таблицы в текст'!$C$209+'таблицы в текст'!$C$210)</f>
        <v>0</v>
      </c>
      <c r="D27" s="28">
        <f>IF(D12=0,0,'таблицы в текст'!$D$209+'таблицы в текст'!$D$210)</f>
        <v>0</v>
      </c>
      <c r="E27" s="28">
        <f>IF(E12=0,0,'таблицы в текст'!$E$209+'таблицы в текст'!$E$210)</f>
        <v>0</v>
      </c>
      <c r="F27" s="28">
        <f>IF(F12=0,0,'таблицы в текст'!$F$209+'таблицы в текст'!$F$210)</f>
        <v>0</v>
      </c>
      <c r="G27" s="28">
        <f t="shared" si="14"/>
        <v>0</v>
      </c>
      <c r="H27" s="28">
        <f>IF(H12=0,0,'таблицы в текст'!$C$209+'таблицы в текст'!$C$210)</f>
        <v>0</v>
      </c>
      <c r="I27" s="28">
        <f>IF(I12=0,0,'таблицы в текст'!$D$209+'таблицы в текст'!$D$210)</f>
        <v>0</v>
      </c>
      <c r="J27" s="28">
        <f>IF(J12=0,0,'таблицы в текст'!$E$209+'таблицы в текст'!$E$210)</f>
        <v>0</v>
      </c>
      <c r="K27" s="28">
        <f>IF(K12=0,0,'таблицы в текст'!$F$209+'таблицы в текст'!$F$210)</f>
        <v>0</v>
      </c>
      <c r="L27" s="28">
        <f t="shared" si="15"/>
        <v>0</v>
      </c>
      <c r="M27" s="28">
        <f>IF(M12=0,0,'таблицы в текст'!$C$209+'таблицы в текст'!$C$210)</f>
        <v>0</v>
      </c>
      <c r="N27" s="28">
        <f>IF(N12=0,0,'таблицы в текст'!$D$209+'таблицы в текст'!$D$210)</f>
        <v>0</v>
      </c>
      <c r="O27" s="28">
        <f>IF(O12=0,0,'таблицы в текст'!$E$209+'таблицы в текст'!$E$210)</f>
        <v>0</v>
      </c>
      <c r="P27" s="28">
        <f>IF(P12=0,0,'таблицы в текст'!$F$209+'таблицы в текст'!$F$210)</f>
        <v>0</v>
      </c>
      <c r="Q27" s="28">
        <f t="shared" si="16"/>
        <v>0</v>
      </c>
      <c r="R27" s="28">
        <f>IF(R12=0,0,'таблицы в текст'!$C$209+'таблицы в текст'!$C$210)</f>
        <v>0</v>
      </c>
      <c r="S27" s="28">
        <f>IF(S12=0,0,'таблицы в текст'!$D$209+'таблицы в текст'!$D$210)</f>
        <v>0</v>
      </c>
      <c r="T27" s="28">
        <f>IF(T12=0,0,'таблицы в текст'!$E$209+'таблицы в текст'!$E$210)</f>
        <v>0</v>
      </c>
      <c r="U27" s="28">
        <f>IF(U12=0,0,'таблицы в текст'!$F$209+'таблицы в текст'!$F$210)</f>
        <v>0</v>
      </c>
      <c r="V27" s="28">
        <f t="shared" si="8"/>
        <v>0</v>
      </c>
      <c r="W27" s="28">
        <f>IF(W12=0,0,'таблицы в текст'!$C$209+'таблицы в текст'!$C$210)</f>
        <v>0</v>
      </c>
      <c r="X27" s="28">
        <f>IF(X12=0,0,'таблицы в текст'!$D$209+'таблицы в текст'!$D$210)</f>
        <v>0</v>
      </c>
      <c r="Y27" s="28">
        <f>IF(Y12=0,0,'таблицы в текст'!$E$209+'таблицы в текст'!$E$210)</f>
        <v>0</v>
      </c>
      <c r="Z27" s="28">
        <f>IF(Z12=0,0,'таблицы в текст'!$F$209+'таблицы в текст'!$F$210)</f>
        <v>0</v>
      </c>
      <c r="AA27" s="29">
        <f t="shared" si="5"/>
        <v>0</v>
      </c>
      <c r="AB27" s="28">
        <f>IF(AB12=0,0,'таблицы в текст'!$C$209+'таблицы в текст'!$C$210)</f>
        <v>0</v>
      </c>
      <c r="AC27" s="28">
        <f>IF(AC12=0,0,'таблицы в текст'!$D$209+'таблицы в текст'!$D$210)</f>
        <v>0</v>
      </c>
      <c r="AD27" s="28">
        <f>IF(AD12=0,0,'таблицы в текст'!$E$209+'таблицы в текст'!$E$210)</f>
        <v>0</v>
      </c>
      <c r="AE27" s="28">
        <f>IF(AE12=0,0,'таблицы в текст'!$F$209+'таблицы в текст'!$F$210)</f>
        <v>0</v>
      </c>
      <c r="AF27" s="28">
        <f t="shared" si="7"/>
        <v>0</v>
      </c>
      <c r="AG27" s="176"/>
      <c r="AH27" s="184"/>
      <c r="AI27" s="184"/>
      <c r="AJ27" s="185"/>
      <c r="AK27" s="176"/>
      <c r="AL27" s="176"/>
      <c r="AM27" s="176"/>
      <c r="AN27" s="176"/>
      <c r="AO27" s="11"/>
      <c r="AP27" s="11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</row>
    <row r="28" spans="1:94" s="8" customFormat="1" ht="16.5" customHeight="1">
      <c r="A28" s="19" t="s">
        <v>159</v>
      </c>
      <c r="B28" s="28">
        <f aca="true" t="shared" si="17" ref="B28:AE28">B19-B20</f>
        <v>1003.6101699675778</v>
      </c>
      <c r="C28" s="28">
        <f t="shared" si="17"/>
        <v>0</v>
      </c>
      <c r="D28" s="28">
        <f t="shared" si="17"/>
        <v>0</v>
      </c>
      <c r="E28" s="28">
        <f t="shared" si="17"/>
        <v>0</v>
      </c>
      <c r="F28" s="28">
        <f t="shared" si="17"/>
        <v>1003.6101699675778</v>
      </c>
      <c r="G28" s="28">
        <f t="shared" si="17"/>
        <v>6380.542267428571</v>
      </c>
      <c r="H28" s="28">
        <f t="shared" si="17"/>
        <v>737.8716674920915</v>
      </c>
      <c r="I28" s="28">
        <f t="shared" si="17"/>
        <v>1701.0890897352406</v>
      </c>
      <c r="J28" s="28">
        <f t="shared" si="17"/>
        <v>2937.9713402336615</v>
      </c>
      <c r="K28" s="28">
        <f t="shared" si="17"/>
        <v>1003.6101699675778</v>
      </c>
      <c r="L28" s="28">
        <f t="shared" si="17"/>
        <v>6380.542267428571</v>
      </c>
      <c r="M28" s="28">
        <f t="shared" si="17"/>
        <v>737.8716674920915</v>
      </c>
      <c r="N28" s="28">
        <f t="shared" si="17"/>
        <v>1701.0890897352406</v>
      </c>
      <c r="O28" s="28">
        <f t="shared" si="17"/>
        <v>2937.9713402336615</v>
      </c>
      <c r="P28" s="28">
        <f t="shared" si="17"/>
        <v>1003.6101699675778</v>
      </c>
      <c r="Q28" s="28">
        <f t="shared" si="17"/>
        <v>6380.542267428571</v>
      </c>
      <c r="R28" s="28">
        <f t="shared" si="17"/>
        <v>737.8716674920915</v>
      </c>
      <c r="S28" s="28">
        <f t="shared" si="17"/>
        <v>1701.0890897352406</v>
      </c>
      <c r="T28" s="28">
        <f t="shared" si="17"/>
        <v>2937.9713402336615</v>
      </c>
      <c r="U28" s="28">
        <f t="shared" si="17"/>
        <v>1003.6101699675778</v>
      </c>
      <c r="V28" s="28">
        <f t="shared" si="8"/>
        <v>6380.542267428571</v>
      </c>
      <c r="W28" s="28">
        <f t="shared" si="17"/>
        <v>737.8716674920915</v>
      </c>
      <c r="X28" s="28">
        <f t="shared" si="17"/>
        <v>1701.0890897352406</v>
      </c>
      <c r="Y28" s="28">
        <f t="shared" si="17"/>
        <v>2937.9713402336615</v>
      </c>
      <c r="Z28" s="28">
        <f t="shared" si="17"/>
        <v>1003.6101699675778</v>
      </c>
      <c r="AA28" s="29">
        <f t="shared" si="5"/>
        <v>0</v>
      </c>
      <c r="AB28" s="28">
        <f t="shared" si="17"/>
        <v>0</v>
      </c>
      <c r="AC28" s="28">
        <f t="shared" si="17"/>
        <v>0</v>
      </c>
      <c r="AD28" s="28">
        <f t="shared" si="17"/>
        <v>0</v>
      </c>
      <c r="AE28" s="28">
        <f t="shared" si="17"/>
        <v>0</v>
      </c>
      <c r="AF28" s="28">
        <f t="shared" si="7"/>
        <v>26525.779239681862</v>
      </c>
      <c r="AG28" s="176"/>
      <c r="AH28" s="184"/>
      <c r="AI28" s="184"/>
      <c r="AJ28" s="185"/>
      <c r="AK28" s="176"/>
      <c r="AL28" s="176"/>
      <c r="AM28" s="176"/>
      <c r="AN28" s="176"/>
      <c r="AO28" s="11"/>
      <c r="AP28" s="11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</row>
    <row r="29" spans="1:94" s="126" customFormat="1" ht="33" customHeight="1">
      <c r="A29" s="19" t="s">
        <v>39</v>
      </c>
      <c r="B29" s="29">
        <f>SUM(C29:F29)</f>
        <v>451.2950356164383</v>
      </c>
      <c r="C29" s="29">
        <f>IF(C12=0,0,'таблицы в текст'!C247)</f>
        <v>0</v>
      </c>
      <c r="D29" s="29">
        <f>IF(D12=0,0,'таблицы в текст'!D247)</f>
        <v>0</v>
      </c>
      <c r="E29" s="29">
        <f>IF(E12=0,0,'таблицы в текст'!E247)</f>
        <v>0</v>
      </c>
      <c r="F29" s="29">
        <f>IF(F12=0,0,'таблицы в текст'!F247)</f>
        <v>451.2950356164383</v>
      </c>
      <c r="G29" s="29">
        <f>SUM(H29:K29)</f>
        <v>1567.634698856145</v>
      </c>
      <c r="H29" s="29">
        <f>IF(H12=0,0,'таблицы в текст'!C254)</f>
        <v>420.1016455750102</v>
      </c>
      <c r="I29" s="29">
        <f>IF(I12=0,0,'таблицы в текст'!D254)</f>
        <v>402.527069905412</v>
      </c>
      <c r="J29" s="29">
        <f>IF(J12=0,0,'таблицы в текст'!E254)</f>
        <v>384.1092704163197</v>
      </c>
      <c r="K29" s="29">
        <f>IF(K12=0,0,'таблицы в текст'!F254)</f>
        <v>360.89671295940286</v>
      </c>
      <c r="L29" s="29">
        <f>SUM(M29:P29)</f>
        <v>1190.6342238634695</v>
      </c>
      <c r="M29" s="29">
        <f>'таблицы в текст'!C261</f>
        <v>329.8853040559025</v>
      </c>
      <c r="N29" s="29">
        <f>'таблицы в текст'!D261</f>
        <v>309.50894112244447</v>
      </c>
      <c r="O29" s="29">
        <f>'таблицы в текст'!E261</f>
        <v>288.1933111670127</v>
      </c>
      <c r="P29" s="29">
        <f>'таблицы в текст'!F261</f>
        <v>263.0466675181099</v>
      </c>
      <c r="Q29" s="29">
        <f>SUM(R29:U29)</f>
        <v>782.5568113059564</v>
      </c>
      <c r="R29" s="29">
        <f>'таблицы в текст'!C268</f>
        <v>232.23224083830914</v>
      </c>
      <c r="S29" s="29">
        <f>'таблицы в текст'!D268</f>
        <v>208.82313345752726</v>
      </c>
      <c r="T29" s="29">
        <f>'таблицы в текст'!E268</f>
        <v>184.37079881025903</v>
      </c>
      <c r="U29" s="29">
        <f>'таблицы в текст'!F268</f>
        <v>157.13063819986115</v>
      </c>
      <c r="V29" s="28">
        <f t="shared" si="8"/>
        <v>340.84072422975265</v>
      </c>
      <c r="W29" s="29">
        <f>'таблицы в текст'!C275</f>
        <v>126.52943140040323</v>
      </c>
      <c r="X29" s="29">
        <f>'таблицы в текст'!D275</f>
        <v>99.8375841052058</v>
      </c>
      <c r="Y29" s="29">
        <f>'таблицы в текст'!E275</f>
        <v>71.98997963864484</v>
      </c>
      <c r="Z29" s="29">
        <f>'таблицы в текст'!F275</f>
        <v>42.48372908549877</v>
      </c>
      <c r="AA29" s="29">
        <f>SUM(AB29:AE29)</f>
        <v>0</v>
      </c>
      <c r="AB29" s="29">
        <f>'таблицы в текст'!C282</f>
        <v>0</v>
      </c>
      <c r="AC29" s="29">
        <f>'таблицы в текст'!D282</f>
        <v>0</v>
      </c>
      <c r="AD29" s="29">
        <f>'таблицы в текст'!E282</f>
        <v>0</v>
      </c>
      <c r="AE29" s="29">
        <f>'таблицы в текст'!F282</f>
        <v>0</v>
      </c>
      <c r="AF29" s="28">
        <f t="shared" si="7"/>
        <v>4332.961493871762</v>
      </c>
      <c r="AG29" s="186"/>
      <c r="AH29" s="184"/>
      <c r="AI29" s="184"/>
      <c r="AJ29" s="185"/>
      <c r="AK29" s="186"/>
      <c r="AL29" s="186"/>
      <c r="AM29" s="186"/>
      <c r="AN29" s="186"/>
      <c r="AO29" s="6"/>
      <c r="AP29" s="6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</row>
    <row r="30" spans="1:94" s="126" customFormat="1" ht="18.75" customHeight="1">
      <c r="A30" s="12" t="s">
        <v>40</v>
      </c>
      <c r="B30" s="28">
        <f>B28-B29</f>
        <v>552.3151343511395</v>
      </c>
      <c r="C30" s="28">
        <f aca="true" t="shared" si="18" ref="C30:AE30">C28-C29</f>
        <v>0</v>
      </c>
      <c r="D30" s="28">
        <f t="shared" si="18"/>
        <v>0</v>
      </c>
      <c r="E30" s="28">
        <f t="shared" si="18"/>
        <v>0</v>
      </c>
      <c r="F30" s="28">
        <f t="shared" si="18"/>
        <v>552.3151343511395</v>
      </c>
      <c r="G30" s="28">
        <f t="shared" si="18"/>
        <v>4812.907568572426</v>
      </c>
      <c r="H30" s="28">
        <f t="shared" si="18"/>
        <v>317.77002191708135</v>
      </c>
      <c r="I30" s="28">
        <f t="shared" si="18"/>
        <v>1298.5620198298286</v>
      </c>
      <c r="J30" s="28">
        <f t="shared" si="18"/>
        <v>2553.8620698173418</v>
      </c>
      <c r="K30" s="28">
        <f t="shared" si="18"/>
        <v>642.7134570081749</v>
      </c>
      <c r="L30" s="28">
        <f t="shared" si="18"/>
        <v>5189.908043565101</v>
      </c>
      <c r="M30" s="28">
        <f t="shared" si="18"/>
        <v>407.98636343618904</v>
      </c>
      <c r="N30" s="28">
        <f t="shared" si="18"/>
        <v>1391.5801486127962</v>
      </c>
      <c r="O30" s="28">
        <f t="shared" si="18"/>
        <v>2649.7780290666487</v>
      </c>
      <c r="P30" s="28">
        <f t="shared" si="18"/>
        <v>740.5635024494679</v>
      </c>
      <c r="Q30" s="28">
        <f t="shared" si="18"/>
        <v>5597.985456122615</v>
      </c>
      <c r="R30" s="28">
        <f t="shared" si="18"/>
        <v>505.6394266537824</v>
      </c>
      <c r="S30" s="28">
        <f t="shared" si="18"/>
        <v>1492.2659562777133</v>
      </c>
      <c r="T30" s="28">
        <f t="shared" si="18"/>
        <v>2753.6005414234023</v>
      </c>
      <c r="U30" s="28">
        <f t="shared" si="18"/>
        <v>846.4795317677167</v>
      </c>
      <c r="V30" s="28">
        <f t="shared" si="8"/>
        <v>6039.701543198818</v>
      </c>
      <c r="W30" s="28">
        <f t="shared" si="18"/>
        <v>611.3422360916883</v>
      </c>
      <c r="X30" s="28">
        <f t="shared" si="18"/>
        <v>1601.2515056300347</v>
      </c>
      <c r="Y30" s="28">
        <f t="shared" si="18"/>
        <v>2865.9813605950167</v>
      </c>
      <c r="Z30" s="28">
        <f t="shared" si="18"/>
        <v>961.126440882079</v>
      </c>
      <c r="AA30" s="29">
        <f>SUM(AB30:AE30)</f>
        <v>0</v>
      </c>
      <c r="AB30" s="28">
        <f t="shared" si="18"/>
        <v>0</v>
      </c>
      <c r="AC30" s="28">
        <f t="shared" si="18"/>
        <v>0</v>
      </c>
      <c r="AD30" s="28">
        <f t="shared" si="18"/>
        <v>0</v>
      </c>
      <c r="AE30" s="28">
        <f t="shared" si="18"/>
        <v>0</v>
      </c>
      <c r="AF30" s="28">
        <f t="shared" si="7"/>
        <v>22192.817745810094</v>
      </c>
      <c r="AG30" s="186"/>
      <c r="AH30" s="184"/>
      <c r="AI30" s="184"/>
      <c r="AJ30" s="185"/>
      <c r="AK30" s="186"/>
      <c r="AL30" s="186"/>
      <c r="AM30" s="186"/>
      <c r="AN30" s="186"/>
      <c r="AO30" s="6"/>
      <c r="AP30" s="6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</row>
    <row r="31" spans="1:94" s="126" customFormat="1" ht="18.75" customHeight="1">
      <c r="A31" s="12" t="s">
        <v>165</v>
      </c>
      <c r="B31" s="28">
        <f aca="true" t="shared" si="19" ref="B31:AE31">B32+B33</f>
        <v>55.23151343511395</v>
      </c>
      <c r="C31" s="28">
        <f t="shared" si="19"/>
        <v>0</v>
      </c>
      <c r="D31" s="28">
        <f t="shared" si="19"/>
        <v>0</v>
      </c>
      <c r="E31" s="28">
        <f t="shared" si="19"/>
        <v>0</v>
      </c>
      <c r="F31" s="28">
        <f t="shared" si="19"/>
        <v>55.23151343511395</v>
      </c>
      <c r="G31" s="28">
        <f t="shared" si="19"/>
        <v>481.2907568572427</v>
      </c>
      <c r="H31" s="28">
        <f t="shared" si="19"/>
        <v>31.777002191708135</v>
      </c>
      <c r="I31" s="28">
        <f t="shared" si="19"/>
        <v>129.85620198298287</v>
      </c>
      <c r="J31" s="28">
        <f t="shared" si="19"/>
        <v>255.38620698173418</v>
      </c>
      <c r="K31" s="28">
        <f t="shared" si="19"/>
        <v>64.27134570081749</v>
      </c>
      <c r="L31" s="28">
        <f t="shared" si="19"/>
        <v>518.9908043565101</v>
      </c>
      <c r="M31" s="28">
        <f t="shared" si="19"/>
        <v>40.79863634361891</v>
      </c>
      <c r="N31" s="28">
        <f t="shared" si="19"/>
        <v>139.1580148612796</v>
      </c>
      <c r="O31" s="28">
        <f t="shared" si="19"/>
        <v>264.97780290666486</v>
      </c>
      <c r="P31" s="28">
        <f t="shared" si="19"/>
        <v>74.0563502449468</v>
      </c>
      <c r="Q31" s="28">
        <f t="shared" si="19"/>
        <v>559.7985456122615</v>
      </c>
      <c r="R31" s="28">
        <f t="shared" si="19"/>
        <v>50.56394266537824</v>
      </c>
      <c r="S31" s="28">
        <f t="shared" si="19"/>
        <v>149.22659562777133</v>
      </c>
      <c r="T31" s="28">
        <f t="shared" si="19"/>
        <v>275.36005414234023</v>
      </c>
      <c r="U31" s="28">
        <f t="shared" si="19"/>
        <v>84.64795317677168</v>
      </c>
      <c r="V31" s="28">
        <f t="shared" si="19"/>
        <v>603.9701543198819</v>
      </c>
      <c r="W31" s="28">
        <f t="shared" si="19"/>
        <v>61.13422360916883</v>
      </c>
      <c r="X31" s="28">
        <f t="shared" si="19"/>
        <v>160.12515056300347</v>
      </c>
      <c r="Y31" s="28">
        <f t="shared" si="19"/>
        <v>286.59813605950166</v>
      </c>
      <c r="Z31" s="28">
        <f t="shared" si="19"/>
        <v>96.1126440882079</v>
      </c>
      <c r="AA31" s="28">
        <f t="shared" si="19"/>
        <v>0</v>
      </c>
      <c r="AB31" s="28">
        <f t="shared" si="19"/>
        <v>0</v>
      </c>
      <c r="AC31" s="28">
        <f t="shared" si="19"/>
        <v>0</v>
      </c>
      <c r="AD31" s="28">
        <f t="shared" si="19"/>
        <v>0</v>
      </c>
      <c r="AE31" s="28">
        <f t="shared" si="19"/>
        <v>0</v>
      </c>
      <c r="AF31" s="28">
        <f t="shared" si="7"/>
        <v>2219.28177458101</v>
      </c>
      <c r="AG31" s="186"/>
      <c r="AH31" s="184"/>
      <c r="AI31" s="184"/>
      <c r="AJ31" s="185"/>
      <c r="AK31" s="186"/>
      <c r="AL31" s="186"/>
      <c r="AM31" s="186"/>
      <c r="AN31" s="186"/>
      <c r="AO31" s="6"/>
      <c r="AP31" s="6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</row>
    <row r="32" spans="1:94" s="126" customFormat="1" ht="18" customHeight="1">
      <c r="A32" s="19" t="s">
        <v>166</v>
      </c>
      <c r="B32" s="28">
        <f>SUM(C32:F32)</f>
        <v>0</v>
      </c>
      <c r="C32" s="28">
        <f>IF('таблицы в текст'!$G$207&gt;0,C12*0.06,0)</f>
        <v>0</v>
      </c>
      <c r="D32" s="28">
        <f>IF('таблицы в текст'!$G$207&gt;0,D12*0.06,0)</f>
        <v>0</v>
      </c>
      <c r="E32" s="28">
        <f>IF('таблицы в текст'!$G$207&gt;0,E12*0.06,0)</f>
        <v>0</v>
      </c>
      <c r="F32" s="28">
        <f>IF('таблицы в текст'!$G$207&gt;0,F12*0.06,0)</f>
        <v>0</v>
      </c>
      <c r="G32" s="28">
        <f>SUM(H32:K32)</f>
        <v>0</v>
      </c>
      <c r="H32" s="28">
        <f>IF('таблицы в текст'!$G$207&gt;0,H12*0.06,0)</f>
        <v>0</v>
      </c>
      <c r="I32" s="28">
        <f>IF('таблицы в текст'!$G$207&gt;0,I12*0.06,0)</f>
        <v>0</v>
      </c>
      <c r="J32" s="28">
        <f>IF('таблицы в текст'!$G$207&gt;0,J12*0.06,0)</f>
        <v>0</v>
      </c>
      <c r="K32" s="28">
        <f>IF('таблицы в текст'!$G$207&gt;0,K12*0.06,0)</f>
        <v>0</v>
      </c>
      <c r="L32" s="28">
        <f>SUM(M32:P32)</f>
        <v>0</v>
      </c>
      <c r="M32" s="28">
        <f>IF('таблицы в текст'!$G$207&gt;0,M12*0.06,0)</f>
        <v>0</v>
      </c>
      <c r="N32" s="28">
        <f>IF('таблицы в текст'!$G$207&gt;0,N12*0.06,0)</f>
        <v>0</v>
      </c>
      <c r="O32" s="28">
        <f>IF('таблицы в текст'!$G$207&gt;0,O12*0.06,0)</f>
        <v>0</v>
      </c>
      <c r="P32" s="28">
        <f>IF('таблицы в текст'!$G$207&gt;0,P12*0.06,0)</f>
        <v>0</v>
      </c>
      <c r="Q32" s="28">
        <f>SUM(R32:U32)</f>
        <v>0</v>
      </c>
      <c r="R32" s="28">
        <f>IF('таблицы в текст'!$G$207&gt;0,R12*0.06,0)</f>
        <v>0</v>
      </c>
      <c r="S32" s="28">
        <f>IF('таблицы в текст'!$G$207&gt;0,S12*0.06,0)</f>
        <v>0</v>
      </c>
      <c r="T32" s="28">
        <f>IF('таблицы в текст'!$G$207&gt;0,T12*0.06,0)</f>
        <v>0</v>
      </c>
      <c r="U32" s="28">
        <f>IF('таблицы в текст'!$G$207&gt;0,U12*0.06,0)</f>
        <v>0</v>
      </c>
      <c r="V32" s="28">
        <f>SUM(W32:Z32)</f>
        <v>0</v>
      </c>
      <c r="W32" s="28">
        <f>IF('таблицы в текст'!$G$207&gt;0,W12*0.06,0)</f>
        <v>0</v>
      </c>
      <c r="X32" s="28">
        <f>IF('таблицы в текст'!$G$207&gt;0,X12*0.06,0)</f>
        <v>0</v>
      </c>
      <c r="Y32" s="28">
        <f>IF('таблицы в текст'!$G$207&gt;0,Y12*0.06,0)</f>
        <v>0</v>
      </c>
      <c r="Z32" s="28">
        <f>IF('таблицы в текст'!$G$207&gt;0,Z12*0.06,0)</f>
        <v>0</v>
      </c>
      <c r="AA32" s="28">
        <f>SUM(AB32:AE32)</f>
        <v>0</v>
      </c>
      <c r="AB32" s="28">
        <f>IF('таблицы в текст'!$G$207&gt;0,AB12*0.06,0)</f>
        <v>0</v>
      </c>
      <c r="AC32" s="28">
        <f>IF('таблицы в текст'!$G$207&gt;0,AC12*0.06,0)</f>
        <v>0</v>
      </c>
      <c r="AD32" s="28">
        <f>IF('таблицы в текст'!$G$207&gt;0,AD12*0.06,0)</f>
        <v>0</v>
      </c>
      <c r="AE32" s="28">
        <f>IF('таблицы в текст'!$G$207&gt;0,AE12*0.06,0)</f>
        <v>0</v>
      </c>
      <c r="AF32" s="28">
        <f t="shared" si="7"/>
        <v>0</v>
      </c>
      <c r="AG32" s="186"/>
      <c r="AH32" s="184"/>
      <c r="AI32" s="184"/>
      <c r="AJ32" s="185"/>
      <c r="AK32" s="186"/>
      <c r="AL32" s="186"/>
      <c r="AM32" s="186"/>
      <c r="AN32" s="186"/>
      <c r="AO32" s="6"/>
      <c r="AP32" s="6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</row>
    <row r="33" spans="1:94" s="126" customFormat="1" ht="18" customHeight="1">
      <c r="A33" s="19" t="s">
        <v>167</v>
      </c>
      <c r="B33" s="28">
        <f>SUM(C33:F33)</f>
        <v>55.23151343511395</v>
      </c>
      <c r="C33" s="28">
        <f>IF('таблицы в текст'!$G$208&gt;0,(C12-C13-C20-C29)*0.1,0)</f>
        <v>0</v>
      </c>
      <c r="D33" s="28">
        <f>IF('таблицы в текст'!$G$208&gt;0,(D12-D13-D20-D29)*0.1,0)</f>
        <v>0</v>
      </c>
      <c r="E33" s="28">
        <f>IF('таблицы в текст'!$G$208&gt;0,(E12-E13-E20-E29)*0.1,0)</f>
        <v>0</v>
      </c>
      <c r="F33" s="28">
        <f>IF('таблицы в текст'!$G$208&gt;0,(F12-F13-F20-F29)*0.1,0)</f>
        <v>55.23151343511395</v>
      </c>
      <c r="G33" s="28">
        <f>SUM(H33:K33)</f>
        <v>481.2907568572427</v>
      </c>
      <c r="H33" s="28">
        <f>IF('таблицы в текст'!$G$208&gt;0,(H12-H13-H20-H29)*0.1,0)</f>
        <v>31.777002191708135</v>
      </c>
      <c r="I33" s="28">
        <f>IF('таблицы в текст'!$G$208&gt;0,(I12-I13-I20-I29)*0.1,0)</f>
        <v>129.85620198298287</v>
      </c>
      <c r="J33" s="28">
        <f>IF('таблицы в текст'!$G$208&gt;0,(J12-J13-J20-J29)*0.1,0)</f>
        <v>255.38620698173418</v>
      </c>
      <c r="K33" s="28">
        <f>IF('таблицы в текст'!$G$208&gt;0,(K12-K13-K20-K29)*0.1,0)</f>
        <v>64.27134570081749</v>
      </c>
      <c r="L33" s="28">
        <f>SUM(M33:P33)</f>
        <v>518.9908043565101</v>
      </c>
      <c r="M33" s="28">
        <f>IF('таблицы в текст'!$G$208&gt;0,(M12-M13-M20-M29)*0.1,0)</f>
        <v>40.79863634361891</v>
      </c>
      <c r="N33" s="28">
        <f>IF('таблицы в текст'!$G$208&gt;0,(N12-N13-N20-N29)*0.1,0)</f>
        <v>139.1580148612796</v>
      </c>
      <c r="O33" s="28">
        <f>IF('таблицы в текст'!$G$208&gt;0,(O12-O13-O20-O29)*0.1,0)</f>
        <v>264.97780290666486</v>
      </c>
      <c r="P33" s="28">
        <f>IF('таблицы в текст'!$G$208&gt;0,(P12-P13-P20-P29)*0.1,0)</f>
        <v>74.0563502449468</v>
      </c>
      <c r="Q33" s="28">
        <f>SUM(R33:U33)</f>
        <v>559.7985456122615</v>
      </c>
      <c r="R33" s="28">
        <f>IF('таблицы в текст'!$G$208&gt;0,(R12-R13-R20-R29)*0.1,0)</f>
        <v>50.56394266537824</v>
      </c>
      <c r="S33" s="28">
        <f>IF('таблицы в текст'!$G$208&gt;0,(S12-S13-S20-S29)*0.1,0)</f>
        <v>149.22659562777133</v>
      </c>
      <c r="T33" s="28">
        <f>IF('таблицы в текст'!$G$208&gt;0,(T12-T13-T20-T29)*0.1,0)</f>
        <v>275.36005414234023</v>
      </c>
      <c r="U33" s="28">
        <f>IF('таблицы в текст'!$G$208&gt;0,(U12-U13-U20-U29)*0.1,0)</f>
        <v>84.64795317677168</v>
      </c>
      <c r="V33" s="28">
        <f>SUM(W33:Z33)</f>
        <v>603.9701543198819</v>
      </c>
      <c r="W33" s="28">
        <f>IF('таблицы в текст'!$G$208&gt;0,(W12-W13-W20-W29)*0.1,0)</f>
        <v>61.13422360916883</v>
      </c>
      <c r="X33" s="28">
        <f>IF('таблицы в текст'!$G$208&gt;0,(X12-X13-X20-X29)*0.1,0)</f>
        <v>160.12515056300347</v>
      </c>
      <c r="Y33" s="28">
        <f>IF('таблицы в текст'!$G$208&gt;0,(Y12-Y13-Y20-Y29)*0.1,0)</f>
        <v>286.59813605950166</v>
      </c>
      <c r="Z33" s="28">
        <f>IF('таблицы в текст'!$G$208&gt;0,(Z12-Z13-Z20-Z29)*0.1,0)</f>
        <v>96.1126440882079</v>
      </c>
      <c r="AA33" s="28">
        <f>SUM(AB33:AE33)</f>
        <v>0</v>
      </c>
      <c r="AB33" s="28">
        <f>IF('таблицы в текст'!$G$208&gt;0,(AB12-AB13-AB20-AB29)*0.1,0)</f>
        <v>0</v>
      </c>
      <c r="AC33" s="28">
        <f>IF('таблицы в текст'!$G$208&gt;0,(AC12-AC13-AC20-AC29)*0.1,0)</f>
        <v>0</v>
      </c>
      <c r="AD33" s="28">
        <f>IF('таблицы в текст'!$G$208&gt;0,(AD12-AD13-AD20-AD29)*0.1,0)</f>
        <v>0</v>
      </c>
      <c r="AE33" s="28">
        <f>IF('таблицы в текст'!$G$208&gt;0,(AE12-AE13-AE20-AE29)*0.1,0)</f>
        <v>0</v>
      </c>
      <c r="AF33" s="28">
        <f t="shared" si="7"/>
        <v>2219.28177458101</v>
      </c>
      <c r="AG33" s="186"/>
      <c r="AH33" s="184"/>
      <c r="AI33" s="184"/>
      <c r="AJ33" s="185"/>
      <c r="AK33" s="186"/>
      <c r="AL33" s="186"/>
      <c r="AM33" s="186"/>
      <c r="AN33" s="186"/>
      <c r="AO33" s="6"/>
      <c r="AP33" s="6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</row>
    <row r="34" spans="1:94" s="147" customFormat="1" ht="19.5" customHeight="1">
      <c r="A34" s="145" t="s">
        <v>41</v>
      </c>
      <c r="B34" s="146">
        <f>B30-B32</f>
        <v>552.3151343511395</v>
      </c>
      <c r="C34" s="146">
        <f aca="true" t="shared" si="20" ref="C34:AF34">C30-C32</f>
        <v>0</v>
      </c>
      <c r="D34" s="146">
        <f t="shared" si="20"/>
        <v>0</v>
      </c>
      <c r="E34" s="146">
        <f t="shared" si="20"/>
        <v>0</v>
      </c>
      <c r="F34" s="146">
        <f t="shared" si="20"/>
        <v>552.3151343511395</v>
      </c>
      <c r="G34" s="146">
        <f t="shared" si="20"/>
        <v>4812.907568572426</v>
      </c>
      <c r="H34" s="146">
        <f t="shared" si="20"/>
        <v>317.77002191708135</v>
      </c>
      <c r="I34" s="146">
        <f t="shared" si="20"/>
        <v>1298.5620198298286</v>
      </c>
      <c r="J34" s="146">
        <f t="shared" si="20"/>
        <v>2553.8620698173418</v>
      </c>
      <c r="K34" s="146">
        <f t="shared" si="20"/>
        <v>642.7134570081749</v>
      </c>
      <c r="L34" s="146">
        <f t="shared" si="20"/>
        <v>5189.908043565101</v>
      </c>
      <c r="M34" s="146">
        <f t="shared" si="20"/>
        <v>407.98636343618904</v>
      </c>
      <c r="N34" s="146">
        <f t="shared" si="20"/>
        <v>1391.5801486127962</v>
      </c>
      <c r="O34" s="146">
        <f t="shared" si="20"/>
        <v>2649.7780290666487</v>
      </c>
      <c r="P34" s="146">
        <f t="shared" si="20"/>
        <v>740.5635024494679</v>
      </c>
      <c r="Q34" s="146">
        <f t="shared" si="20"/>
        <v>5597.985456122615</v>
      </c>
      <c r="R34" s="146">
        <f t="shared" si="20"/>
        <v>505.6394266537824</v>
      </c>
      <c r="S34" s="146">
        <f t="shared" si="20"/>
        <v>1492.2659562777133</v>
      </c>
      <c r="T34" s="146">
        <f t="shared" si="20"/>
        <v>2753.6005414234023</v>
      </c>
      <c r="U34" s="146">
        <f t="shared" si="20"/>
        <v>846.4795317677167</v>
      </c>
      <c r="V34" s="146">
        <f t="shared" si="20"/>
        <v>6039.701543198818</v>
      </c>
      <c r="W34" s="146">
        <f t="shared" si="20"/>
        <v>611.3422360916883</v>
      </c>
      <c r="X34" s="146">
        <f t="shared" si="20"/>
        <v>1601.2515056300347</v>
      </c>
      <c r="Y34" s="146">
        <f t="shared" si="20"/>
        <v>2865.9813605950167</v>
      </c>
      <c r="Z34" s="146">
        <f t="shared" si="20"/>
        <v>961.126440882079</v>
      </c>
      <c r="AA34" s="146">
        <f t="shared" si="20"/>
        <v>0</v>
      </c>
      <c r="AB34" s="146">
        <f t="shared" si="20"/>
        <v>0</v>
      </c>
      <c r="AC34" s="146">
        <f t="shared" si="20"/>
        <v>0</v>
      </c>
      <c r="AD34" s="146">
        <f t="shared" si="20"/>
        <v>0</v>
      </c>
      <c r="AE34" s="146">
        <f t="shared" si="20"/>
        <v>0</v>
      </c>
      <c r="AF34" s="146">
        <f t="shared" si="20"/>
        <v>22192.817745810094</v>
      </c>
      <c r="AG34" s="187"/>
      <c r="AH34" s="184"/>
      <c r="AI34" s="188"/>
      <c r="AJ34" s="189"/>
      <c r="AK34" s="187"/>
      <c r="AL34" s="187"/>
      <c r="AM34" s="187"/>
      <c r="AN34" s="187"/>
      <c r="AO34" s="179"/>
      <c r="AP34" s="179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</row>
    <row r="35" spans="1:42" s="9" customFormat="1" ht="15.75" customHeight="1" hidden="1" outlineLevel="1">
      <c r="A35" s="142" t="s">
        <v>161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76"/>
      <c r="AH35" s="176"/>
      <c r="AI35" s="176"/>
      <c r="AJ35" s="176"/>
      <c r="AK35" s="176"/>
      <c r="AL35" s="176"/>
      <c r="AM35" s="176"/>
      <c r="AN35" s="176"/>
      <c r="AO35" s="11"/>
      <c r="AP35" s="11"/>
    </row>
    <row r="36" spans="1:42" s="9" customFormat="1" ht="15.75" customHeight="1" hidden="1" outlineLevel="1">
      <c r="A36" s="142" t="s">
        <v>162</v>
      </c>
      <c r="B36" s="143"/>
      <c r="C36" s="143"/>
      <c r="D36" s="143"/>
      <c r="E36" s="143"/>
      <c r="F36" s="143"/>
      <c r="G36" s="144">
        <f>'таблицы в текст'!D28</f>
        <v>1</v>
      </c>
      <c r="H36" s="144">
        <f>G36</f>
        <v>1</v>
      </c>
      <c r="I36" s="144">
        <f>H36</f>
        <v>1</v>
      </c>
      <c r="J36" s="144">
        <f>I36</f>
        <v>1</v>
      </c>
      <c r="K36" s="144">
        <f>J36</f>
        <v>1</v>
      </c>
      <c r="L36" s="144">
        <f aca="true" t="shared" si="21" ref="L36:AE36">K36</f>
        <v>1</v>
      </c>
      <c r="M36" s="144">
        <f t="shared" si="21"/>
        <v>1</v>
      </c>
      <c r="N36" s="144">
        <f t="shared" si="21"/>
        <v>1</v>
      </c>
      <c r="O36" s="144">
        <f t="shared" si="21"/>
        <v>1</v>
      </c>
      <c r="P36" s="144">
        <f t="shared" si="21"/>
        <v>1</v>
      </c>
      <c r="Q36" s="144">
        <f t="shared" si="21"/>
        <v>1</v>
      </c>
      <c r="R36" s="144">
        <f t="shared" si="21"/>
        <v>1</v>
      </c>
      <c r="S36" s="144">
        <f t="shared" si="21"/>
        <v>1</v>
      </c>
      <c r="T36" s="144">
        <f t="shared" si="21"/>
        <v>1</v>
      </c>
      <c r="U36" s="144">
        <f t="shared" si="21"/>
        <v>1</v>
      </c>
      <c r="V36" s="144">
        <f t="shared" si="21"/>
        <v>1</v>
      </c>
      <c r="W36" s="144">
        <f t="shared" si="21"/>
        <v>1</v>
      </c>
      <c r="X36" s="144">
        <f t="shared" si="21"/>
        <v>1</v>
      </c>
      <c r="Y36" s="144">
        <f t="shared" si="21"/>
        <v>1</v>
      </c>
      <c r="Z36" s="144">
        <f t="shared" si="21"/>
        <v>1</v>
      </c>
      <c r="AA36" s="144">
        <f t="shared" si="21"/>
        <v>1</v>
      </c>
      <c r="AB36" s="144">
        <f t="shared" si="21"/>
        <v>1</v>
      </c>
      <c r="AC36" s="144">
        <f t="shared" si="21"/>
        <v>1</v>
      </c>
      <c r="AD36" s="144">
        <f t="shared" si="21"/>
        <v>1</v>
      </c>
      <c r="AE36" s="144">
        <f t="shared" si="21"/>
        <v>1</v>
      </c>
      <c r="AF36" s="143"/>
      <c r="AG36" s="176"/>
      <c r="AH36" s="176"/>
      <c r="AI36" s="176"/>
      <c r="AJ36" s="176"/>
      <c r="AK36" s="176"/>
      <c r="AL36" s="176"/>
      <c r="AM36" s="176"/>
      <c r="AN36" s="176"/>
      <c r="AO36" s="11"/>
      <c r="AP36" s="11"/>
    </row>
    <row r="37" spans="1:42" s="9" customFormat="1" ht="15.75" customHeight="1" hidden="1" outlineLevel="1">
      <c r="A37" s="142" t="s">
        <v>163</v>
      </c>
      <c r="B37" s="143"/>
      <c r="C37" s="143"/>
      <c r="D37" s="143"/>
      <c r="E37" s="143"/>
      <c r="F37" s="143"/>
      <c r="G37" s="144">
        <f>'таблицы в текст'!D28</f>
        <v>1</v>
      </c>
      <c r="H37" s="144">
        <f aca="true" t="shared" si="22" ref="H37:K38">G37</f>
        <v>1</v>
      </c>
      <c r="I37" s="144">
        <f t="shared" si="22"/>
        <v>1</v>
      </c>
      <c r="J37" s="144">
        <f t="shared" si="22"/>
        <v>1</v>
      </c>
      <c r="K37" s="144">
        <f t="shared" si="22"/>
        <v>1</v>
      </c>
      <c r="L37" s="144">
        <f aca="true" t="shared" si="23" ref="L37:AE37">K37</f>
        <v>1</v>
      </c>
      <c r="M37" s="144">
        <f t="shared" si="23"/>
        <v>1</v>
      </c>
      <c r="N37" s="144">
        <f t="shared" si="23"/>
        <v>1</v>
      </c>
      <c r="O37" s="144">
        <f t="shared" si="23"/>
        <v>1</v>
      </c>
      <c r="P37" s="144">
        <f t="shared" si="23"/>
        <v>1</v>
      </c>
      <c r="Q37" s="144">
        <f t="shared" si="23"/>
        <v>1</v>
      </c>
      <c r="R37" s="144">
        <f t="shared" si="23"/>
        <v>1</v>
      </c>
      <c r="S37" s="144">
        <f t="shared" si="23"/>
        <v>1</v>
      </c>
      <c r="T37" s="144">
        <f t="shared" si="23"/>
        <v>1</v>
      </c>
      <c r="U37" s="144">
        <f t="shared" si="23"/>
        <v>1</v>
      </c>
      <c r="V37" s="144">
        <f t="shared" si="23"/>
        <v>1</v>
      </c>
      <c r="W37" s="144">
        <f t="shared" si="23"/>
        <v>1</v>
      </c>
      <c r="X37" s="144">
        <f t="shared" si="23"/>
        <v>1</v>
      </c>
      <c r="Y37" s="144">
        <f t="shared" si="23"/>
        <v>1</v>
      </c>
      <c r="Z37" s="144">
        <f t="shared" si="23"/>
        <v>1</v>
      </c>
      <c r="AA37" s="144">
        <f t="shared" si="23"/>
        <v>1</v>
      </c>
      <c r="AB37" s="144">
        <f t="shared" si="23"/>
        <v>1</v>
      </c>
      <c r="AC37" s="144">
        <f t="shared" si="23"/>
        <v>1</v>
      </c>
      <c r="AD37" s="144">
        <f t="shared" si="23"/>
        <v>1</v>
      </c>
      <c r="AE37" s="144">
        <f t="shared" si="23"/>
        <v>1</v>
      </c>
      <c r="AF37" s="143"/>
      <c r="AG37" s="176"/>
      <c r="AH37" s="176"/>
      <c r="AI37" s="176"/>
      <c r="AJ37" s="176"/>
      <c r="AK37" s="176"/>
      <c r="AL37" s="176"/>
      <c r="AM37" s="176"/>
      <c r="AN37" s="176"/>
      <c r="AO37" s="11"/>
      <c r="AP37" s="11"/>
    </row>
    <row r="38" spans="1:42" s="9" customFormat="1" ht="15.75" customHeight="1" hidden="1" outlineLevel="1">
      <c r="A38" s="142" t="s">
        <v>164</v>
      </c>
      <c r="B38" s="143"/>
      <c r="C38" s="143"/>
      <c r="D38" s="143"/>
      <c r="E38" s="143"/>
      <c r="F38" s="143"/>
      <c r="G38" s="144">
        <f>'таблицы в текст'!D28</f>
        <v>1</v>
      </c>
      <c r="H38" s="144">
        <f t="shared" si="22"/>
        <v>1</v>
      </c>
      <c r="I38" s="144">
        <f t="shared" si="22"/>
        <v>1</v>
      </c>
      <c r="J38" s="144">
        <f t="shared" si="22"/>
        <v>1</v>
      </c>
      <c r="K38" s="144">
        <f t="shared" si="22"/>
        <v>1</v>
      </c>
      <c r="L38" s="144">
        <f aca="true" t="shared" si="24" ref="L38:AE38">K38</f>
        <v>1</v>
      </c>
      <c r="M38" s="144">
        <f t="shared" si="24"/>
        <v>1</v>
      </c>
      <c r="N38" s="144">
        <f t="shared" si="24"/>
        <v>1</v>
      </c>
      <c r="O38" s="144">
        <f t="shared" si="24"/>
        <v>1</v>
      </c>
      <c r="P38" s="144">
        <f t="shared" si="24"/>
        <v>1</v>
      </c>
      <c r="Q38" s="144">
        <f t="shared" si="24"/>
        <v>1</v>
      </c>
      <c r="R38" s="144">
        <f t="shared" si="24"/>
        <v>1</v>
      </c>
      <c r="S38" s="144">
        <f t="shared" si="24"/>
        <v>1</v>
      </c>
      <c r="T38" s="144">
        <f t="shared" si="24"/>
        <v>1</v>
      </c>
      <c r="U38" s="144">
        <f t="shared" si="24"/>
        <v>1</v>
      </c>
      <c r="V38" s="144">
        <f t="shared" si="24"/>
        <v>1</v>
      </c>
      <c r="W38" s="144">
        <f t="shared" si="24"/>
        <v>1</v>
      </c>
      <c r="X38" s="144">
        <f t="shared" si="24"/>
        <v>1</v>
      </c>
      <c r="Y38" s="144">
        <f t="shared" si="24"/>
        <v>1</v>
      </c>
      <c r="Z38" s="144">
        <f t="shared" si="24"/>
        <v>1</v>
      </c>
      <c r="AA38" s="144">
        <f t="shared" si="24"/>
        <v>1</v>
      </c>
      <c r="AB38" s="144">
        <f t="shared" si="24"/>
        <v>1</v>
      </c>
      <c r="AC38" s="144">
        <f t="shared" si="24"/>
        <v>1</v>
      </c>
      <c r="AD38" s="144">
        <f t="shared" si="24"/>
        <v>1</v>
      </c>
      <c r="AE38" s="144">
        <f t="shared" si="24"/>
        <v>1</v>
      </c>
      <c r="AF38" s="143"/>
      <c r="AG38" s="176"/>
      <c r="AH38" s="176"/>
      <c r="AI38" s="176"/>
      <c r="AJ38" s="176"/>
      <c r="AK38" s="176"/>
      <c r="AL38" s="176"/>
      <c r="AM38" s="176"/>
      <c r="AN38" s="176"/>
      <c r="AO38" s="11"/>
      <c r="AP38" s="11"/>
    </row>
    <row r="39" spans="13:16" ht="12.75" collapsed="1">
      <c r="M39" s="25"/>
      <c r="N39" s="25"/>
      <c r="O39" s="25"/>
      <c r="P39" s="25"/>
    </row>
    <row r="40" spans="2:7" ht="12.75">
      <c r="B40" s="230"/>
      <c r="G40" s="230">
        <f>G13+G20-'таблицы в текст'!C200</f>
        <v>0</v>
      </c>
    </row>
    <row r="46" ht="12.75">
      <c r="C46" s="18"/>
    </row>
  </sheetData>
  <sheetProtection/>
  <mergeCells count="19">
    <mergeCell ref="AF7:AF9"/>
    <mergeCell ref="L8:L9"/>
    <mergeCell ref="G7:K7"/>
    <mergeCell ref="L7:P7"/>
    <mergeCell ref="R8:U8"/>
    <mergeCell ref="V7:Z7"/>
    <mergeCell ref="AB7:AE7"/>
    <mergeCell ref="AA8:AA9"/>
    <mergeCell ref="Q7:U7"/>
    <mergeCell ref="A7:A9"/>
    <mergeCell ref="B7:F7"/>
    <mergeCell ref="B8:B9"/>
    <mergeCell ref="W8:X8"/>
    <mergeCell ref="H8:K8"/>
    <mergeCell ref="C8:F8"/>
    <mergeCell ref="Q8:Q9"/>
    <mergeCell ref="M8:P8"/>
    <mergeCell ref="G8:G9"/>
    <mergeCell ref="V8:V9"/>
  </mergeCells>
  <printOptions horizontalCentered="1"/>
  <pageMargins left="0.15748031496062992" right="0.15748031496062992" top="0.5905511811023623" bottom="0.3937007874015748" header="0.7086614173228347" footer="0.6299212598425197"/>
  <pageSetup fitToWidth="2" fitToHeight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49"/>
  <sheetViews>
    <sheetView showZeros="0" zoomScale="90" zoomScaleNormal="90" zoomScalePageLayoutView="0" workbookViewId="0" topLeftCell="A1">
      <pane xSplit="1" ySplit="10" topLeftCell="B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G28" sqref="AG28"/>
    </sheetView>
  </sheetViews>
  <sheetFormatPr defaultColWidth="9.140625" defaultRowHeight="13.5" customHeight="1"/>
  <cols>
    <col min="1" max="1" width="41.140625" style="41" customWidth="1"/>
    <col min="2" max="2" width="9.00390625" style="23" customWidth="1"/>
    <col min="3" max="3" width="8.7109375" style="23" customWidth="1"/>
    <col min="4" max="4" width="8.28125" style="23" customWidth="1"/>
    <col min="5" max="5" width="8.140625" style="23" customWidth="1"/>
    <col min="6" max="6" width="8.57421875" style="23" customWidth="1"/>
    <col min="7" max="7" width="8.7109375" style="23" customWidth="1"/>
    <col min="8" max="16" width="7.28125" style="23" customWidth="1"/>
    <col min="17" max="17" width="7.00390625" style="23" customWidth="1"/>
    <col min="18" max="18" width="6.140625" style="23" customWidth="1"/>
    <col min="19" max="19" width="7.28125" style="23" customWidth="1"/>
    <col min="20" max="20" width="6.421875" style="23" customWidth="1"/>
    <col min="21" max="21" width="7.28125" style="23" customWidth="1"/>
    <col min="22" max="22" width="7.140625" style="23" customWidth="1"/>
    <col min="23" max="23" width="6.00390625" style="23" customWidth="1"/>
    <col min="24" max="24" width="6.57421875" style="23" customWidth="1"/>
    <col min="25" max="25" width="7.421875" style="23" customWidth="1"/>
    <col min="26" max="26" width="7.28125" style="23" customWidth="1"/>
    <col min="27" max="27" width="0" style="44" hidden="1" customWidth="1"/>
    <col min="28" max="31" width="0" style="35" hidden="1" customWidth="1"/>
    <col min="32" max="32" width="8.00390625" style="35" customWidth="1"/>
    <col min="33" max="33" width="9.140625" style="35" customWidth="1"/>
    <col min="34" max="34" width="13.7109375" style="35" customWidth="1"/>
    <col min="35" max="16384" width="9.140625" style="35" customWidth="1"/>
  </cols>
  <sheetData>
    <row r="1" spans="1:5" s="101" customFormat="1" ht="18">
      <c r="A1" s="116"/>
      <c r="B1" s="117" t="str">
        <f>'таблицы в текст'!B1</f>
        <v>НАЗВАНИЕ ПРОЕКТА:</v>
      </c>
      <c r="C1" s="118"/>
      <c r="D1" s="118"/>
      <c r="E1" s="45" t="str">
        <f>'таблицы в текст'!C1</f>
        <v>Бизнес-план организации заготовки и переработки делового леса в п. ХХХ ХХХ района Республики Саха (Якутия)</v>
      </c>
    </row>
    <row r="2" spans="1:42" s="1" customFormat="1" ht="12.75">
      <c r="A2" s="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s="3" customFormat="1" ht="20.25">
      <c r="A3" s="119" t="s">
        <v>168</v>
      </c>
      <c r="B3" s="120"/>
      <c r="C3" s="120"/>
      <c r="D3" s="121"/>
      <c r="E3" s="121"/>
      <c r="F3" s="121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s="3" customFormat="1" ht="18.75">
      <c r="A4" s="5"/>
      <c r="B4" s="7"/>
      <c r="C4" s="7"/>
      <c r="D4" s="7"/>
      <c r="E4" s="7"/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s="3" customFormat="1" ht="18.75">
      <c r="A5" s="103" t="s">
        <v>169</v>
      </c>
      <c r="D5" s="21"/>
      <c r="E5" s="21"/>
      <c r="F5" s="2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27" s="30" customFormat="1" ht="18.75" customHeight="1">
      <c r="A6" s="31"/>
      <c r="AA6" s="43"/>
    </row>
    <row r="7" spans="1:34" s="100" customFormat="1" ht="13.5" customHeight="1">
      <c r="A7" s="299" t="s">
        <v>5</v>
      </c>
      <c r="B7" s="300">
        <f>'таблицы в текст'!D33</f>
        <v>2019</v>
      </c>
      <c r="C7" s="300"/>
      <c r="D7" s="300"/>
      <c r="E7" s="300"/>
      <c r="F7" s="300"/>
      <c r="G7" s="300">
        <f>B7+1</f>
        <v>2020</v>
      </c>
      <c r="H7" s="300"/>
      <c r="I7" s="300"/>
      <c r="J7" s="300"/>
      <c r="K7" s="300"/>
      <c r="L7" s="303">
        <f>G7+1</f>
        <v>2021</v>
      </c>
      <c r="M7" s="303"/>
      <c r="N7" s="303"/>
      <c r="O7" s="303"/>
      <c r="P7" s="303"/>
      <c r="Q7" s="292">
        <f>L7+1</f>
        <v>2022</v>
      </c>
      <c r="R7" s="293"/>
      <c r="S7" s="293"/>
      <c r="T7" s="293"/>
      <c r="U7" s="294"/>
      <c r="V7" s="292">
        <f>Q7+1</f>
        <v>2023</v>
      </c>
      <c r="W7" s="293"/>
      <c r="X7" s="293"/>
      <c r="Y7" s="293"/>
      <c r="Z7" s="294"/>
      <c r="AA7" s="292">
        <f>V7+1</f>
        <v>2024</v>
      </c>
      <c r="AB7" s="293"/>
      <c r="AC7" s="293"/>
      <c r="AD7" s="293"/>
      <c r="AE7" s="294"/>
      <c r="AF7" s="295" t="s">
        <v>10</v>
      </c>
      <c r="AH7" s="172"/>
    </row>
    <row r="8" spans="1:32" s="34" customFormat="1" ht="13.5" customHeight="1">
      <c r="A8" s="299"/>
      <c r="B8" s="301" t="s">
        <v>6</v>
      </c>
      <c r="C8" s="302" t="s">
        <v>7</v>
      </c>
      <c r="D8" s="302"/>
      <c r="E8" s="302"/>
      <c r="F8" s="302"/>
      <c r="G8" s="301" t="s">
        <v>6</v>
      </c>
      <c r="H8" s="302" t="s">
        <v>7</v>
      </c>
      <c r="I8" s="302"/>
      <c r="J8" s="302"/>
      <c r="K8" s="302"/>
      <c r="L8" s="295" t="s">
        <v>6</v>
      </c>
      <c r="M8" s="302" t="s">
        <v>7</v>
      </c>
      <c r="N8" s="302"/>
      <c r="O8" s="302"/>
      <c r="P8" s="302"/>
      <c r="Q8" s="295" t="s">
        <v>6</v>
      </c>
      <c r="R8" s="296" t="s">
        <v>7</v>
      </c>
      <c r="S8" s="297"/>
      <c r="T8" s="297"/>
      <c r="U8" s="298"/>
      <c r="V8" s="295" t="s">
        <v>6</v>
      </c>
      <c r="W8" s="296" t="s">
        <v>7</v>
      </c>
      <c r="X8" s="297"/>
      <c r="Y8" s="297"/>
      <c r="Z8" s="298"/>
      <c r="AA8" s="295" t="s">
        <v>6</v>
      </c>
      <c r="AB8" s="296" t="s">
        <v>7</v>
      </c>
      <c r="AC8" s="297"/>
      <c r="AD8" s="297"/>
      <c r="AE8" s="298"/>
      <c r="AF8" s="295"/>
    </row>
    <row r="9" spans="1:32" s="34" customFormat="1" ht="13.5" customHeight="1">
      <c r="A9" s="299"/>
      <c r="B9" s="301"/>
      <c r="C9" s="32">
        <v>1</v>
      </c>
      <c r="D9" s="32">
        <v>2</v>
      </c>
      <c r="E9" s="32">
        <v>3</v>
      </c>
      <c r="F9" s="32">
        <v>4</v>
      </c>
      <c r="G9" s="301"/>
      <c r="H9" s="32">
        <v>1</v>
      </c>
      <c r="I9" s="32">
        <v>2</v>
      </c>
      <c r="J9" s="32">
        <v>3</v>
      </c>
      <c r="K9" s="32">
        <v>4</v>
      </c>
      <c r="L9" s="295"/>
      <c r="M9" s="32">
        <v>1</v>
      </c>
      <c r="N9" s="32">
        <v>2</v>
      </c>
      <c r="O9" s="32">
        <v>3</v>
      </c>
      <c r="P9" s="32">
        <v>4</v>
      </c>
      <c r="Q9" s="295"/>
      <c r="R9" s="33">
        <f>M9</f>
        <v>1</v>
      </c>
      <c r="S9" s="33">
        <v>2</v>
      </c>
      <c r="T9" s="33">
        <f>O9</f>
        <v>3</v>
      </c>
      <c r="U9" s="33">
        <f>P9</f>
        <v>4</v>
      </c>
      <c r="V9" s="295"/>
      <c r="W9" s="33">
        <f>R9</f>
        <v>1</v>
      </c>
      <c r="X9" s="33">
        <v>2</v>
      </c>
      <c r="Y9" s="33">
        <f>T9</f>
        <v>3</v>
      </c>
      <c r="Z9" s="33">
        <f>U9</f>
        <v>4</v>
      </c>
      <c r="AA9" s="295"/>
      <c r="AB9" s="33">
        <f>W9</f>
        <v>1</v>
      </c>
      <c r="AC9" s="33">
        <v>3</v>
      </c>
      <c r="AD9" s="33">
        <f>Y9</f>
        <v>3</v>
      </c>
      <c r="AE9" s="33">
        <f>Z9</f>
        <v>4</v>
      </c>
      <c r="AF9" s="295"/>
    </row>
    <row r="10" spans="1:32" ht="13.5" customHeight="1">
      <c r="A10" s="148" t="s">
        <v>170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</row>
    <row r="11" spans="1:32" s="15" customFormat="1" ht="17.25" customHeight="1">
      <c r="A11" s="13" t="str">
        <f>'приложение 1'!A12</f>
        <v>Выручка </v>
      </c>
      <c r="B11" s="17">
        <f aca="true" t="shared" si="0" ref="B11:B16">SUM(C11:F11)</f>
        <v>4947.368421052632</v>
      </c>
      <c r="C11" s="13">
        <f>'приложение 1'!C12</f>
        <v>0</v>
      </c>
      <c r="D11" s="13">
        <f>'приложение 1'!D12</f>
        <v>0</v>
      </c>
      <c r="E11" s="13">
        <f>'приложение 1'!E12</f>
        <v>0</v>
      </c>
      <c r="F11" s="13">
        <f>'приложение 1'!F12</f>
        <v>4947.368421052632</v>
      </c>
      <c r="G11" s="17">
        <f aca="true" t="shared" si="1" ref="G11:G16">SUM(H11:K11)</f>
        <v>18800</v>
      </c>
      <c r="H11" s="13">
        <f>'приложение 1'!H12</f>
        <v>4338.461538461538</v>
      </c>
      <c r="I11" s="13">
        <f>'приложение 1'!I12</f>
        <v>4490.688259109312</v>
      </c>
      <c r="J11" s="13">
        <f>'приложение 1'!J12</f>
        <v>5023.4817813765185</v>
      </c>
      <c r="K11" s="13">
        <f>'приложение 1'!K12</f>
        <v>4947.368421052632</v>
      </c>
      <c r="L11" s="17">
        <f aca="true" t="shared" si="2" ref="L11:L16">SUM(M11:P11)</f>
        <v>18800</v>
      </c>
      <c r="M11" s="13">
        <f>'приложение 1'!M12</f>
        <v>4338.461538461538</v>
      </c>
      <c r="N11" s="13">
        <f>'приложение 1'!N12</f>
        <v>4490.688259109312</v>
      </c>
      <c r="O11" s="13">
        <f>'приложение 1'!O12</f>
        <v>5023.4817813765185</v>
      </c>
      <c r="P11" s="13">
        <f>'приложение 1'!P12</f>
        <v>4947.368421052632</v>
      </c>
      <c r="Q11" s="17">
        <f aca="true" t="shared" si="3" ref="Q11:Q16">SUM(R11:U11)</f>
        <v>18800</v>
      </c>
      <c r="R11" s="13">
        <f>'приложение 1'!R12</f>
        <v>4338.461538461538</v>
      </c>
      <c r="S11" s="13">
        <f>'приложение 1'!S12</f>
        <v>4490.688259109312</v>
      </c>
      <c r="T11" s="13">
        <f>'приложение 1'!T12</f>
        <v>5023.4817813765185</v>
      </c>
      <c r="U11" s="13">
        <f>'приложение 1'!U12</f>
        <v>4947.368421052632</v>
      </c>
      <c r="V11" s="17">
        <f aca="true" t="shared" si="4" ref="V11:V16">SUM(W11:Z11)</f>
        <v>18800</v>
      </c>
      <c r="W11" s="13">
        <f>'приложение 1'!W12</f>
        <v>4338.461538461538</v>
      </c>
      <c r="X11" s="13">
        <f>'приложение 1'!X12</f>
        <v>4490.688259109312</v>
      </c>
      <c r="Y11" s="13">
        <f>'приложение 1'!Y12</f>
        <v>5023.4817813765185</v>
      </c>
      <c r="Z11" s="13">
        <f>'приложение 1'!Z12</f>
        <v>4947.368421052632</v>
      </c>
      <c r="AA11" s="17">
        <f aca="true" t="shared" si="5" ref="AA11:AA16">SUM(AB11:AE11)</f>
        <v>0</v>
      </c>
      <c r="AB11" s="13">
        <f>'приложение 1'!AB12</f>
        <v>0</v>
      </c>
      <c r="AC11" s="13">
        <f>'приложение 1'!AC12</f>
        <v>0</v>
      </c>
      <c r="AD11" s="13">
        <f>'приложение 1'!AD12</f>
        <v>0</v>
      </c>
      <c r="AE11" s="13">
        <f>'приложение 1'!AE12</f>
        <v>0</v>
      </c>
      <c r="AF11" s="13">
        <f>AA11+V11+Q11+L11+G11+B11</f>
        <v>80147.36842105263</v>
      </c>
    </row>
    <row r="12" spans="1:32" s="15" customFormat="1" ht="17.25" customHeight="1" hidden="1">
      <c r="A12" s="13"/>
      <c r="B12" s="17">
        <f t="shared" si="0"/>
        <v>0</v>
      </c>
      <c r="C12" s="13"/>
      <c r="D12" s="13"/>
      <c r="E12" s="13"/>
      <c r="F12" s="13"/>
      <c r="G12" s="17">
        <f t="shared" si="1"/>
        <v>0</v>
      </c>
      <c r="H12" s="13"/>
      <c r="I12" s="13"/>
      <c r="J12" s="13"/>
      <c r="K12" s="13"/>
      <c r="L12" s="17">
        <f t="shared" si="2"/>
        <v>0</v>
      </c>
      <c r="M12" s="13"/>
      <c r="N12" s="13"/>
      <c r="O12" s="13"/>
      <c r="P12" s="13"/>
      <c r="Q12" s="17">
        <f t="shared" si="3"/>
        <v>0</v>
      </c>
      <c r="R12" s="13"/>
      <c r="S12" s="13"/>
      <c r="T12" s="13"/>
      <c r="U12" s="13"/>
      <c r="V12" s="17">
        <f t="shared" si="4"/>
        <v>0</v>
      </c>
      <c r="W12" s="13"/>
      <c r="X12" s="13"/>
      <c r="Y12" s="13"/>
      <c r="Z12" s="13"/>
      <c r="AA12" s="17">
        <f t="shared" si="5"/>
        <v>0</v>
      </c>
      <c r="AB12" s="13"/>
      <c r="AC12" s="13"/>
      <c r="AD12" s="13"/>
      <c r="AE12" s="13"/>
      <c r="AF12" s="13">
        <f aca="true" t="shared" si="6" ref="AF12:AF19">AA12+V12+Q12+L12+G12+B12</f>
        <v>0</v>
      </c>
    </row>
    <row r="13" spans="1:34" s="24" customFormat="1" ht="16.5" customHeight="1">
      <c r="A13" s="36" t="s">
        <v>171</v>
      </c>
      <c r="B13" s="17">
        <f t="shared" si="0"/>
        <v>3943.758251085054</v>
      </c>
      <c r="C13" s="17">
        <f>'приложение 1'!C13+'приложение 1'!C20-'приложение 1'!C27</f>
        <v>0</v>
      </c>
      <c r="D13" s="17">
        <f>'приложение 1'!D13+'приложение 1'!D20-'приложение 1'!D27</f>
        <v>0</v>
      </c>
      <c r="E13" s="17">
        <f>'приложение 1'!E13+'приложение 1'!E20-'приложение 1'!E27</f>
        <v>0</v>
      </c>
      <c r="F13" s="17">
        <f>'приложение 1'!F13+'приложение 1'!F20-'приложение 1'!F27</f>
        <v>3943.758251085054</v>
      </c>
      <c r="G13" s="17">
        <f t="shared" si="1"/>
        <v>12419.457732571429</v>
      </c>
      <c r="H13" s="17">
        <f>'приложение 1'!H13+'приложение 1'!H20-'приложение 1'!H27</f>
        <v>3600.5898709694466</v>
      </c>
      <c r="I13" s="17">
        <f>'приложение 1'!I13+'приложение 1'!I20-'приложение 1'!I27</f>
        <v>2789.599169374071</v>
      </c>
      <c r="J13" s="17">
        <f>'приложение 1'!J13+'приложение 1'!J20-'приложение 1'!J27</f>
        <v>2085.5104411428574</v>
      </c>
      <c r="K13" s="17">
        <f>'приложение 1'!K13+'приложение 1'!K20-'приложение 1'!K27</f>
        <v>3943.758251085054</v>
      </c>
      <c r="L13" s="17">
        <f t="shared" si="2"/>
        <v>12419.457732571429</v>
      </c>
      <c r="M13" s="17">
        <f>'приложение 1'!M13+'приложение 1'!M20-'приложение 1'!M27</f>
        <v>3600.5898709694466</v>
      </c>
      <c r="N13" s="17">
        <f>'приложение 1'!N13+'приложение 1'!N20-'приложение 1'!N27</f>
        <v>2789.599169374071</v>
      </c>
      <c r="O13" s="17">
        <f>'приложение 1'!O13+'приложение 1'!O20-'приложение 1'!O27</f>
        <v>2085.5104411428574</v>
      </c>
      <c r="P13" s="17">
        <f>'приложение 1'!P13+'приложение 1'!P20-'приложение 1'!P27</f>
        <v>3943.758251085054</v>
      </c>
      <c r="Q13" s="17">
        <f t="shared" si="3"/>
        <v>12419.457732571429</v>
      </c>
      <c r="R13" s="17">
        <f>'приложение 1'!R13+'приложение 1'!R20-'приложение 1'!R27</f>
        <v>3600.5898709694466</v>
      </c>
      <c r="S13" s="17">
        <f>'приложение 1'!S13+'приложение 1'!S20-'приложение 1'!S27</f>
        <v>2789.599169374071</v>
      </c>
      <c r="T13" s="17">
        <f>'приложение 1'!T13+'приложение 1'!T20-'приложение 1'!T27</f>
        <v>2085.5104411428574</v>
      </c>
      <c r="U13" s="17">
        <f>'приложение 1'!U13+'приложение 1'!U20-'приложение 1'!U27</f>
        <v>3943.758251085054</v>
      </c>
      <c r="V13" s="17">
        <f t="shared" si="4"/>
        <v>12419.457732571429</v>
      </c>
      <c r="W13" s="17">
        <f>'приложение 1'!W13+'приложение 1'!W20-'приложение 1'!W27</f>
        <v>3600.5898709694466</v>
      </c>
      <c r="X13" s="17">
        <f>'приложение 1'!X13+'приложение 1'!X20-'приложение 1'!X27</f>
        <v>2789.599169374071</v>
      </c>
      <c r="Y13" s="17">
        <f>'приложение 1'!Y13+'приложение 1'!Y20-'приложение 1'!Y27</f>
        <v>2085.5104411428574</v>
      </c>
      <c r="Z13" s="17">
        <f>'приложение 1'!Z13+'приложение 1'!Z20-'приложение 1'!Z27</f>
        <v>3943.758251085054</v>
      </c>
      <c r="AA13" s="17">
        <f t="shared" si="5"/>
        <v>0</v>
      </c>
      <c r="AB13" s="17">
        <f>'приложение 1'!AB13+'приложение 1'!AB20-'приложение 1'!AB27</f>
        <v>0</v>
      </c>
      <c r="AC13" s="17">
        <f>'приложение 1'!AC13+'приложение 1'!AC20-'приложение 1'!AC27</f>
        <v>0</v>
      </c>
      <c r="AD13" s="17">
        <f>'приложение 1'!AD13+'приложение 1'!AD20-'приложение 1'!AD27</f>
        <v>0</v>
      </c>
      <c r="AE13" s="17">
        <f>'приложение 1'!AE13+'приложение 1'!AE20-'приложение 1'!AE27</f>
        <v>0</v>
      </c>
      <c r="AF13" s="13">
        <f t="shared" si="6"/>
        <v>53621.58918137077</v>
      </c>
      <c r="AH13" s="15"/>
    </row>
    <row r="14" spans="1:34" s="24" customFormat="1" ht="16.5" customHeight="1">
      <c r="A14" s="36" t="s">
        <v>173</v>
      </c>
      <c r="B14" s="17">
        <f t="shared" si="0"/>
        <v>808.3142857142857</v>
      </c>
      <c r="C14" s="17">
        <f>'приложение 1'!C25</f>
        <v>0</v>
      </c>
      <c r="D14" s="17">
        <f>'приложение 1'!D25</f>
        <v>0</v>
      </c>
      <c r="E14" s="17">
        <f>'приложение 1'!E25</f>
        <v>0</v>
      </c>
      <c r="F14" s="17">
        <f>'приложение 1'!F25</f>
        <v>808.3142857142857</v>
      </c>
      <c r="G14" s="17">
        <f t="shared" si="1"/>
        <v>3233.2571428571428</v>
      </c>
      <c r="H14" s="17">
        <f>'приложение 1'!H25</f>
        <v>808.3142857142857</v>
      </c>
      <c r="I14" s="17">
        <f>'приложение 1'!I25</f>
        <v>808.3142857142857</v>
      </c>
      <c r="J14" s="17">
        <f>'приложение 1'!J25</f>
        <v>808.3142857142857</v>
      </c>
      <c r="K14" s="17">
        <f>'приложение 1'!K25</f>
        <v>808.3142857142857</v>
      </c>
      <c r="L14" s="17">
        <f t="shared" si="2"/>
        <v>3233.2571428571428</v>
      </c>
      <c r="M14" s="17">
        <f>'приложение 1'!M25</f>
        <v>808.3142857142857</v>
      </c>
      <c r="N14" s="17">
        <f>'приложение 1'!N25</f>
        <v>808.3142857142857</v>
      </c>
      <c r="O14" s="17">
        <f>'приложение 1'!O25</f>
        <v>808.3142857142857</v>
      </c>
      <c r="P14" s="17">
        <f>'приложение 1'!P25</f>
        <v>808.3142857142857</v>
      </c>
      <c r="Q14" s="17">
        <f t="shared" si="3"/>
        <v>3233.2571428571428</v>
      </c>
      <c r="R14" s="17">
        <f>'приложение 1'!R25</f>
        <v>808.3142857142857</v>
      </c>
      <c r="S14" s="17">
        <f>'приложение 1'!S25</f>
        <v>808.3142857142857</v>
      </c>
      <c r="T14" s="17">
        <f>'приложение 1'!T25</f>
        <v>808.3142857142857</v>
      </c>
      <c r="U14" s="17">
        <f>'приложение 1'!U25</f>
        <v>808.3142857142857</v>
      </c>
      <c r="V14" s="17">
        <f t="shared" si="4"/>
        <v>3233.2571428571428</v>
      </c>
      <c r="W14" s="17">
        <f>'приложение 1'!W25</f>
        <v>808.3142857142857</v>
      </c>
      <c r="X14" s="17">
        <f>'приложение 1'!X25</f>
        <v>808.3142857142857</v>
      </c>
      <c r="Y14" s="17">
        <f>'приложение 1'!Y25</f>
        <v>808.3142857142857</v>
      </c>
      <c r="Z14" s="17">
        <f>'приложение 1'!Z25</f>
        <v>808.3142857142857</v>
      </c>
      <c r="AA14" s="17">
        <f t="shared" si="5"/>
        <v>0</v>
      </c>
      <c r="AB14" s="17">
        <f>'приложение 1'!AB25</f>
        <v>0</v>
      </c>
      <c r="AC14" s="17">
        <f>'приложение 1'!AC25</f>
        <v>0</v>
      </c>
      <c r="AD14" s="17">
        <f>'приложение 1'!AD25</f>
        <v>0</v>
      </c>
      <c r="AE14" s="17">
        <f>'приложение 1'!AE25</f>
        <v>0</v>
      </c>
      <c r="AF14" s="13">
        <f t="shared" si="6"/>
        <v>13741.342857142856</v>
      </c>
      <c r="AH14" s="15"/>
    </row>
    <row r="15" spans="1:32" s="15" customFormat="1" ht="14.25" customHeight="1">
      <c r="A15" s="37" t="s">
        <v>172</v>
      </c>
      <c r="B15" s="17">
        <f t="shared" si="0"/>
        <v>55.23151343511395</v>
      </c>
      <c r="C15" s="13">
        <f>'приложение 1'!C27+'приложение 1'!C31</f>
        <v>0</v>
      </c>
      <c r="D15" s="13">
        <f>'приложение 1'!D27+'приложение 1'!D31</f>
        <v>0</v>
      </c>
      <c r="E15" s="13">
        <f>'приложение 1'!E27+'приложение 1'!E31</f>
        <v>0</v>
      </c>
      <c r="F15" s="13">
        <f>'приложение 1'!F27+'приложение 1'!F31</f>
        <v>55.23151343511395</v>
      </c>
      <c r="G15" s="17">
        <f t="shared" si="1"/>
        <v>481.2907568572427</v>
      </c>
      <c r="H15" s="13">
        <f>'приложение 1'!H27+'приложение 1'!H31</f>
        <v>31.777002191708135</v>
      </c>
      <c r="I15" s="13">
        <f>'приложение 1'!I27+'приложение 1'!I31</f>
        <v>129.85620198298287</v>
      </c>
      <c r="J15" s="13">
        <f>'приложение 1'!J27+'приложение 1'!J31</f>
        <v>255.38620698173418</v>
      </c>
      <c r="K15" s="13">
        <f>'приложение 1'!K27+'приложение 1'!K31</f>
        <v>64.27134570081749</v>
      </c>
      <c r="L15" s="17">
        <f t="shared" si="2"/>
        <v>518.9908043565101</v>
      </c>
      <c r="M15" s="13">
        <f>'приложение 1'!M27+'приложение 1'!M31</f>
        <v>40.79863634361891</v>
      </c>
      <c r="N15" s="13">
        <f>'приложение 1'!N27+'приложение 1'!N31</f>
        <v>139.1580148612796</v>
      </c>
      <c r="O15" s="13">
        <f>'приложение 1'!O27+'приложение 1'!O31</f>
        <v>264.97780290666486</v>
      </c>
      <c r="P15" s="13">
        <f>'приложение 1'!P27+'приложение 1'!P31</f>
        <v>74.0563502449468</v>
      </c>
      <c r="Q15" s="17">
        <f t="shared" si="3"/>
        <v>559.7985456122615</v>
      </c>
      <c r="R15" s="13">
        <f>'приложение 1'!R27+'приложение 1'!R31</f>
        <v>50.56394266537824</v>
      </c>
      <c r="S15" s="13">
        <f>'приложение 1'!S27+'приложение 1'!S31</f>
        <v>149.22659562777133</v>
      </c>
      <c r="T15" s="13">
        <f>'приложение 1'!T27+'приложение 1'!T31</f>
        <v>275.36005414234023</v>
      </c>
      <c r="U15" s="13">
        <f>'приложение 1'!U27+'приложение 1'!U31</f>
        <v>84.64795317677168</v>
      </c>
      <c r="V15" s="17">
        <f t="shared" si="4"/>
        <v>603.9701543198819</v>
      </c>
      <c r="W15" s="13">
        <f>'приложение 1'!W27+'приложение 1'!W31</f>
        <v>61.13422360916883</v>
      </c>
      <c r="X15" s="13">
        <f>'приложение 1'!X27+'приложение 1'!X31</f>
        <v>160.12515056300347</v>
      </c>
      <c r="Y15" s="13">
        <f>'приложение 1'!Y27+'приложение 1'!Y31</f>
        <v>286.59813605950166</v>
      </c>
      <c r="Z15" s="13">
        <f>'приложение 1'!Z27+'приложение 1'!Z31</f>
        <v>96.1126440882079</v>
      </c>
      <c r="AA15" s="17">
        <f t="shared" si="5"/>
        <v>0</v>
      </c>
      <c r="AB15" s="13">
        <f>'приложение 1'!AB27+'приложение 1'!AB31</f>
        <v>0</v>
      </c>
      <c r="AC15" s="13">
        <f>'приложение 1'!AC27+'приложение 1'!AC31</f>
        <v>0</v>
      </c>
      <c r="AD15" s="13">
        <f>'приложение 1'!AD27+'приложение 1'!AD31</f>
        <v>0</v>
      </c>
      <c r="AE15" s="13">
        <f>'приложение 1'!AE27+'приложение 1'!AE31</f>
        <v>0</v>
      </c>
      <c r="AF15" s="13">
        <f t="shared" si="6"/>
        <v>2219.28177458101</v>
      </c>
    </row>
    <row r="16" spans="1:34" s="16" customFormat="1" ht="15" customHeight="1">
      <c r="A16" s="13" t="s">
        <v>42</v>
      </c>
      <c r="B16" s="17">
        <f t="shared" si="0"/>
        <v>1756.6929422467495</v>
      </c>
      <c r="C16" s="17">
        <f>C11-C13+C14-C15</f>
        <v>0</v>
      </c>
      <c r="D16" s="17">
        <f>D11-D13+D14-D15</f>
        <v>0</v>
      </c>
      <c r="E16" s="17">
        <f>E11-E13+E14-E15</f>
        <v>0</v>
      </c>
      <c r="F16" s="17">
        <f>F11-F13+F14-F15</f>
        <v>1756.6929422467495</v>
      </c>
      <c r="G16" s="17">
        <f t="shared" si="1"/>
        <v>9132.508653428471</v>
      </c>
      <c r="H16" s="17">
        <f>H11-H13+H14-H15</f>
        <v>1514.4089510146691</v>
      </c>
      <c r="I16" s="17">
        <f>I11-I13+I14-I15</f>
        <v>2379.5471734665434</v>
      </c>
      <c r="J16" s="17">
        <f>J11-J13+J14-J15</f>
        <v>3490.8994189662126</v>
      </c>
      <c r="K16" s="17">
        <f>K11-K13+K14-K15</f>
        <v>1747.653109981046</v>
      </c>
      <c r="L16" s="17">
        <f t="shared" si="2"/>
        <v>9094.808605929204</v>
      </c>
      <c r="M16" s="17">
        <f>M11-M13+M14-M15</f>
        <v>1505.3873168627583</v>
      </c>
      <c r="N16" s="17">
        <f>N11-N13+N14-N15</f>
        <v>2370.2453605882465</v>
      </c>
      <c r="O16" s="17">
        <f>O11-O13+O14-O15</f>
        <v>3481.307823041282</v>
      </c>
      <c r="P16" s="17">
        <f>P11-P13+P14-P15</f>
        <v>1737.8681054369167</v>
      </c>
      <c r="Q16" s="17">
        <f t="shared" si="3"/>
        <v>9054.000864673451</v>
      </c>
      <c r="R16" s="17">
        <f>R11-R13+R14-R15</f>
        <v>1495.622010540999</v>
      </c>
      <c r="S16" s="17">
        <f>S11-S13+S14-S15</f>
        <v>2360.1767798217547</v>
      </c>
      <c r="T16" s="17">
        <f>T11-T13+T14-T15</f>
        <v>3470.9255718056065</v>
      </c>
      <c r="U16" s="17">
        <f>U11-U13+U14-U15</f>
        <v>1727.276502505092</v>
      </c>
      <c r="V16" s="17">
        <f t="shared" si="4"/>
        <v>9009.829255965831</v>
      </c>
      <c r="W16" s="17">
        <f>W11-W13+W14-W15</f>
        <v>1485.0517295972084</v>
      </c>
      <c r="X16" s="17">
        <f>X11-X13+X14-X15</f>
        <v>2349.278224886523</v>
      </c>
      <c r="Y16" s="17">
        <f>Y11-Y13+Y14-Y15</f>
        <v>3459.6874898884453</v>
      </c>
      <c r="Z16" s="17">
        <f>Z11-Z13+Z14-Z15</f>
        <v>1715.8118115936556</v>
      </c>
      <c r="AA16" s="17">
        <f t="shared" si="5"/>
        <v>0</v>
      </c>
      <c r="AB16" s="17">
        <f>AB11-AB13+AB14-AB15</f>
        <v>0</v>
      </c>
      <c r="AC16" s="17">
        <f>AC11-AC13+AC14-AC15</f>
        <v>0</v>
      </c>
      <c r="AD16" s="17">
        <f>AD11-AD13+AD14-AD15</f>
        <v>0</v>
      </c>
      <c r="AE16" s="17">
        <f>AE11-AE13+AE14-AE15</f>
        <v>0</v>
      </c>
      <c r="AF16" s="13">
        <f t="shared" si="6"/>
        <v>38047.840322243705</v>
      </c>
      <c r="AH16" s="15"/>
    </row>
    <row r="17" spans="1:32" s="15" customFormat="1" ht="13.5" customHeight="1">
      <c r="A17" s="148" t="s">
        <v>176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</row>
    <row r="18" spans="1:32" s="15" customFormat="1" ht="15.75" customHeight="1">
      <c r="A18" s="13" t="s">
        <v>174</v>
      </c>
      <c r="B18" s="13">
        <f>SUM(C18:F18)</f>
        <v>22680.1582256</v>
      </c>
      <c r="C18" s="13">
        <f>IF('таблицы в текст'!$D$35=1,'таблицы в текст'!$C$235,0)</f>
        <v>22680.1582256</v>
      </c>
      <c r="D18" s="13">
        <f>IF('таблицы в текст'!$D$35=2,'таблицы в текст'!$C$235,0)</f>
        <v>0</v>
      </c>
      <c r="E18" s="13">
        <f>IF('таблицы в текст'!$D$35=3,'таблицы в текст'!$C$235,0)</f>
        <v>0</v>
      </c>
      <c r="F18" s="13">
        <f>IF('таблицы в текст'!$D$35=4,'таблицы в текст'!$C$235,0)</f>
        <v>0</v>
      </c>
      <c r="G18" s="13">
        <f>SUM(H18:K18)</f>
        <v>0</v>
      </c>
      <c r="H18" s="13"/>
      <c r="I18" s="13"/>
      <c r="J18" s="13"/>
      <c r="K18" s="13"/>
      <c r="L18" s="13">
        <f>SUM(M18:P18)</f>
        <v>0</v>
      </c>
      <c r="M18" s="13"/>
      <c r="N18" s="13"/>
      <c r="O18" s="13"/>
      <c r="P18" s="13"/>
      <c r="Q18" s="13">
        <f>SUM(R18:U18)</f>
        <v>0</v>
      </c>
      <c r="R18" s="13"/>
      <c r="S18" s="13"/>
      <c r="T18" s="13"/>
      <c r="U18" s="13"/>
      <c r="V18" s="13">
        <f>SUM(W18:Z18)</f>
        <v>0</v>
      </c>
      <c r="W18" s="13"/>
      <c r="X18" s="13"/>
      <c r="Y18" s="13"/>
      <c r="Z18" s="13"/>
      <c r="AA18" s="13">
        <f>SUM(AB18:AE18)</f>
        <v>0</v>
      </c>
      <c r="AB18" s="13"/>
      <c r="AC18" s="13"/>
      <c r="AD18" s="13"/>
      <c r="AE18" s="13"/>
      <c r="AF18" s="13">
        <f t="shared" si="6"/>
        <v>22680.1582256</v>
      </c>
    </row>
    <row r="19" spans="1:34" s="16" customFormat="1" ht="15.75" customHeight="1">
      <c r="A19" s="17" t="s">
        <v>44</v>
      </c>
      <c r="B19" s="17">
        <f aca="true" t="shared" si="7" ref="B19:AE19">-B18</f>
        <v>-22680.1582256</v>
      </c>
      <c r="C19" s="17">
        <f t="shared" si="7"/>
        <v>-22680.1582256</v>
      </c>
      <c r="D19" s="17">
        <f t="shared" si="7"/>
        <v>0</v>
      </c>
      <c r="E19" s="17">
        <f t="shared" si="7"/>
        <v>0</v>
      </c>
      <c r="F19" s="17">
        <f t="shared" si="7"/>
        <v>0</v>
      </c>
      <c r="G19" s="17">
        <f t="shared" si="7"/>
        <v>0</v>
      </c>
      <c r="H19" s="17">
        <f t="shared" si="7"/>
        <v>0</v>
      </c>
      <c r="I19" s="17">
        <f t="shared" si="7"/>
        <v>0</v>
      </c>
      <c r="J19" s="17">
        <f t="shared" si="7"/>
        <v>0</v>
      </c>
      <c r="K19" s="17">
        <f t="shared" si="7"/>
        <v>0</v>
      </c>
      <c r="L19" s="17">
        <f t="shared" si="7"/>
        <v>0</v>
      </c>
      <c r="M19" s="17">
        <f t="shared" si="7"/>
        <v>0</v>
      </c>
      <c r="N19" s="17">
        <f t="shared" si="7"/>
        <v>0</v>
      </c>
      <c r="O19" s="17">
        <f t="shared" si="7"/>
        <v>0</v>
      </c>
      <c r="P19" s="17">
        <f t="shared" si="7"/>
        <v>0</v>
      </c>
      <c r="Q19" s="17">
        <f t="shared" si="7"/>
        <v>0</v>
      </c>
      <c r="R19" s="17">
        <f t="shared" si="7"/>
        <v>0</v>
      </c>
      <c r="S19" s="17">
        <f t="shared" si="7"/>
        <v>0</v>
      </c>
      <c r="T19" s="17">
        <f t="shared" si="7"/>
        <v>0</v>
      </c>
      <c r="U19" s="17">
        <f t="shared" si="7"/>
        <v>0</v>
      </c>
      <c r="V19" s="17">
        <f t="shared" si="7"/>
        <v>0</v>
      </c>
      <c r="W19" s="17">
        <f t="shared" si="7"/>
        <v>0</v>
      </c>
      <c r="X19" s="17">
        <f t="shared" si="7"/>
        <v>0</v>
      </c>
      <c r="Y19" s="17">
        <f t="shared" si="7"/>
        <v>0</v>
      </c>
      <c r="Z19" s="17">
        <f t="shared" si="7"/>
        <v>0</v>
      </c>
      <c r="AA19" s="17">
        <f t="shared" si="7"/>
        <v>0</v>
      </c>
      <c r="AB19" s="17">
        <f t="shared" si="7"/>
        <v>0</v>
      </c>
      <c r="AC19" s="17">
        <f t="shared" si="7"/>
        <v>0</v>
      </c>
      <c r="AD19" s="17">
        <f t="shared" si="7"/>
        <v>0</v>
      </c>
      <c r="AE19" s="17">
        <f t="shared" si="7"/>
        <v>0</v>
      </c>
      <c r="AF19" s="13">
        <f t="shared" si="6"/>
        <v>-22680.1582256</v>
      </c>
      <c r="AH19" s="15"/>
    </row>
    <row r="20" spans="1:32" s="15" customFormat="1" ht="13.5" customHeight="1">
      <c r="A20" s="148" t="s">
        <v>177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</row>
    <row r="21" spans="1:32" s="15" customFormat="1" ht="12.75">
      <c r="A21" s="38" t="s">
        <v>45</v>
      </c>
      <c r="B21" s="14">
        <f>B23+B24</f>
        <v>1638.5271899835616</v>
      </c>
      <c r="C21" s="14">
        <f>C23+C24</f>
        <v>740.8424995726027</v>
      </c>
      <c r="D21" s="14">
        <f>D23+D24</f>
        <v>446.3896547945205</v>
      </c>
      <c r="E21" s="14">
        <f>E23+E24</f>
        <v>451.2950356164383</v>
      </c>
      <c r="F21" s="14">
        <f>F23+F24</f>
        <v>0</v>
      </c>
      <c r="G21" s="14">
        <f aca="true" t="shared" si="8" ref="G21:AE21">G23+G24</f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8"/>
        <v>0</v>
      </c>
      <c r="P21" s="14">
        <f t="shared" si="8"/>
        <v>0</v>
      </c>
      <c r="Q21" s="14">
        <f t="shared" si="8"/>
        <v>0</v>
      </c>
      <c r="R21" s="14">
        <f t="shared" si="8"/>
        <v>0</v>
      </c>
      <c r="S21" s="14">
        <f t="shared" si="8"/>
        <v>0</v>
      </c>
      <c r="T21" s="14">
        <f t="shared" si="8"/>
        <v>0</v>
      </c>
      <c r="U21" s="14">
        <f t="shared" si="8"/>
        <v>0</v>
      </c>
      <c r="V21" s="14">
        <f t="shared" si="8"/>
        <v>0</v>
      </c>
      <c r="W21" s="14">
        <f t="shared" si="8"/>
        <v>0</v>
      </c>
      <c r="X21" s="14">
        <f t="shared" si="8"/>
        <v>0</v>
      </c>
      <c r="Y21" s="14">
        <f t="shared" si="8"/>
        <v>0</v>
      </c>
      <c r="Z21" s="14">
        <f t="shared" si="8"/>
        <v>0</v>
      </c>
      <c r="AA21" s="14">
        <f t="shared" si="8"/>
        <v>0</v>
      </c>
      <c r="AB21" s="14">
        <f t="shared" si="8"/>
        <v>0</v>
      </c>
      <c r="AC21" s="14">
        <f t="shared" si="8"/>
        <v>0</v>
      </c>
      <c r="AD21" s="14">
        <f t="shared" si="8"/>
        <v>0</v>
      </c>
      <c r="AE21" s="14">
        <f t="shared" si="8"/>
        <v>0</v>
      </c>
      <c r="AF21" s="13">
        <f aca="true" t="shared" si="9" ref="AF21:AF29">AA21+V21+Q21+L21+G21+B21</f>
        <v>1638.5271899835616</v>
      </c>
    </row>
    <row r="22" spans="1:34" s="27" customFormat="1" ht="12" customHeight="1">
      <c r="A22" s="39" t="s">
        <v>9</v>
      </c>
      <c r="B22" s="14">
        <f>SUM(D22:F22)</f>
        <v>0</v>
      </c>
      <c r="C22" s="26"/>
      <c r="D22" s="26"/>
      <c r="E22" s="26"/>
      <c r="F22" s="26"/>
      <c r="G22" s="14">
        <f aca="true" t="shared" si="10" ref="G22:G27">SUM(H22:K22)</f>
        <v>0</v>
      </c>
      <c r="H22" s="26"/>
      <c r="I22" s="26"/>
      <c r="J22" s="26"/>
      <c r="K22" s="26"/>
      <c r="L22" s="14">
        <f aca="true" t="shared" si="11" ref="L22:L27">SUM(M22:P22)</f>
        <v>0</v>
      </c>
      <c r="M22" s="26"/>
      <c r="N22" s="26"/>
      <c r="O22" s="26"/>
      <c r="P22" s="26"/>
      <c r="Q22" s="14">
        <f aca="true" t="shared" si="12" ref="Q22:Q27">SUM(R22:U22)</f>
        <v>0</v>
      </c>
      <c r="R22" s="26"/>
      <c r="S22" s="26"/>
      <c r="T22" s="26"/>
      <c r="U22" s="26"/>
      <c r="V22" s="14">
        <f aca="true" t="shared" si="13" ref="V22:V27">SUM(W22:Z22)</f>
        <v>0</v>
      </c>
      <c r="W22" s="26"/>
      <c r="X22" s="26"/>
      <c r="Y22" s="26"/>
      <c r="Z22" s="26"/>
      <c r="AA22" s="14">
        <f aca="true" t="shared" si="14" ref="AA22:AA27">SUM(AB22:AE22)</f>
        <v>0</v>
      </c>
      <c r="AB22" s="26"/>
      <c r="AC22" s="26"/>
      <c r="AD22" s="26"/>
      <c r="AE22" s="26"/>
      <c r="AF22" s="13">
        <f t="shared" si="9"/>
        <v>0</v>
      </c>
      <c r="AH22" s="15"/>
    </row>
    <row r="23" spans="1:34" s="27" customFormat="1" ht="12.75">
      <c r="A23" s="39" t="s">
        <v>175</v>
      </c>
      <c r="B23" s="14">
        <f>SUM(C23:F23)</f>
        <v>299.3582256</v>
      </c>
      <c r="C23" s="26">
        <f>IF(C18&gt;0,'таблицы в текст'!C221,0)</f>
        <v>299.3582256</v>
      </c>
      <c r="D23" s="26">
        <f>IF(D18&gt;0,'таблицы в текст'!D221,0)</f>
        <v>0</v>
      </c>
      <c r="E23" s="26">
        <f>IF(E18&gt;0,'таблицы в текст'!E221,0)</f>
        <v>0</v>
      </c>
      <c r="F23" s="26">
        <f>IF(F18&gt;0,'таблицы в текст'!F221,0)</f>
        <v>0</v>
      </c>
      <c r="G23" s="14">
        <f t="shared" si="10"/>
        <v>0</v>
      </c>
      <c r="H23" s="26">
        <f>IF(H18&gt;0,'таблицы в текст'!H221,0)</f>
        <v>0</v>
      </c>
      <c r="I23" s="26">
        <f>IF(I18&gt;0,'таблицы в текст'!I221,0)</f>
        <v>0</v>
      </c>
      <c r="J23" s="26">
        <f>IF(J18&gt;0,'таблицы в текст'!J221,0)</f>
        <v>0</v>
      </c>
      <c r="K23" s="26">
        <f>IF(K18&gt;0,'таблицы в текст'!K221,0)</f>
        <v>0</v>
      </c>
      <c r="L23" s="14">
        <f t="shared" si="11"/>
        <v>0</v>
      </c>
      <c r="M23" s="26">
        <f>IF(M18&gt;0,'таблицы в текст'!M221,0)</f>
        <v>0</v>
      </c>
      <c r="N23" s="26">
        <f>IF(N18&gt;0,'таблицы в текст'!N221,0)</f>
        <v>0</v>
      </c>
      <c r="O23" s="26">
        <f>IF(O18&gt;0,'таблицы в текст'!O221,0)</f>
        <v>0</v>
      </c>
      <c r="P23" s="26">
        <f>IF(P18&gt;0,'таблицы в текст'!P221,0)</f>
        <v>0</v>
      </c>
      <c r="Q23" s="14">
        <f t="shared" si="12"/>
        <v>0</v>
      </c>
      <c r="R23" s="26">
        <f>IF(R18&gt;0,'таблицы в текст'!R221,0)</f>
        <v>0</v>
      </c>
      <c r="S23" s="26">
        <f>IF(S18&gt;0,'таблицы в текст'!S221,0)</f>
        <v>0</v>
      </c>
      <c r="T23" s="26">
        <f>IF(T18&gt;0,'таблицы в текст'!T221,0)</f>
        <v>0</v>
      </c>
      <c r="U23" s="26">
        <f>IF(U18&gt;0,'таблицы в текст'!U221,0)</f>
        <v>0</v>
      </c>
      <c r="V23" s="14">
        <f t="shared" si="13"/>
        <v>0</v>
      </c>
      <c r="W23" s="26">
        <f>IF(W18&gt;0,'таблицы в текст'!W221,0)</f>
        <v>0</v>
      </c>
      <c r="X23" s="26">
        <f>IF(X18&gt;0,'таблицы в текст'!X221,0)</f>
        <v>0</v>
      </c>
      <c r="Y23" s="26">
        <f>IF(Y18&gt;0,'таблицы в текст'!Y221,0)</f>
        <v>0</v>
      </c>
      <c r="Z23" s="26">
        <f>IF(Z18&gt;0,'таблицы в текст'!Z221,0)</f>
        <v>0</v>
      </c>
      <c r="AA23" s="14">
        <f t="shared" si="14"/>
        <v>0</v>
      </c>
      <c r="AB23" s="26">
        <f>IF(AB18&gt;0,'таблицы в текст'!AB221,0)</f>
        <v>0</v>
      </c>
      <c r="AC23" s="26">
        <f>IF(AC18&gt;0,'таблицы в текст'!AC221,0)</f>
        <v>0</v>
      </c>
      <c r="AD23" s="26">
        <f>IF(AD18&gt;0,'таблицы в текст'!AD221,0)</f>
        <v>0</v>
      </c>
      <c r="AE23" s="26">
        <f>IF(AE18&gt;0,'таблицы в текст'!AE221,0)</f>
        <v>0</v>
      </c>
      <c r="AF23" s="13">
        <f t="shared" si="9"/>
        <v>299.3582256</v>
      </c>
      <c r="AH23" s="15"/>
    </row>
    <row r="24" spans="1:34" s="27" customFormat="1" ht="12.75">
      <c r="A24" s="39" t="s">
        <v>32</v>
      </c>
      <c r="B24" s="26">
        <f>SUM(C24:F24)</f>
        <v>1339.1689643835616</v>
      </c>
      <c r="C24" s="26">
        <f>IF(C11=0,C26,0)</f>
        <v>441.4842739726027</v>
      </c>
      <c r="D24" s="26">
        <f>IF(D11=0,D26,0)</f>
        <v>446.3896547945205</v>
      </c>
      <c r="E24" s="26">
        <f>IF(E11=0,E26,0)</f>
        <v>451.2950356164383</v>
      </c>
      <c r="F24" s="26">
        <f>IF(F11=0,F26,0)</f>
        <v>0</v>
      </c>
      <c r="G24" s="26">
        <f t="shared" si="10"/>
        <v>0</v>
      </c>
      <c r="H24" s="26">
        <f>IF(H11=0,H26,0)</f>
        <v>0</v>
      </c>
      <c r="I24" s="26">
        <f>IF(I11=0,I26,0)</f>
        <v>0</v>
      </c>
      <c r="J24" s="26">
        <f>IF(J11=0,J26,0)</f>
        <v>0</v>
      </c>
      <c r="K24" s="26">
        <f>IF(K11=0,K26,0)</f>
        <v>0</v>
      </c>
      <c r="L24" s="26">
        <f t="shared" si="11"/>
        <v>0</v>
      </c>
      <c r="M24" s="26">
        <f>IF(M11=0,M26,0)</f>
        <v>0</v>
      </c>
      <c r="N24" s="26">
        <f>IF(N11=0,N26,0)</f>
        <v>0</v>
      </c>
      <c r="O24" s="26">
        <f>IF(O11=0,O26,0)</f>
        <v>0</v>
      </c>
      <c r="P24" s="26">
        <f>IF(P11=0,P26,0)</f>
        <v>0</v>
      </c>
      <c r="Q24" s="26">
        <f t="shared" si="12"/>
        <v>0</v>
      </c>
      <c r="R24" s="26">
        <f>IF(R11=0,R26,0)</f>
        <v>0</v>
      </c>
      <c r="S24" s="26">
        <f>IF(S11=0,S26,0)</f>
        <v>0</v>
      </c>
      <c r="T24" s="26">
        <f>IF(T11=0,T26,0)</f>
        <v>0</v>
      </c>
      <c r="U24" s="26">
        <f>IF(U11=0,U26,0)</f>
        <v>0</v>
      </c>
      <c r="V24" s="26">
        <f t="shared" si="13"/>
        <v>0</v>
      </c>
      <c r="W24" s="26">
        <f>IF(W11=0,W26,0)</f>
        <v>0</v>
      </c>
      <c r="X24" s="26">
        <f>IF(X11=0,X26,0)</f>
        <v>0</v>
      </c>
      <c r="Y24" s="26">
        <f>IF(Y11=0,Y26,0)</f>
        <v>0</v>
      </c>
      <c r="Z24" s="26">
        <f>IF(Z11=0,Z26,0)</f>
        <v>0</v>
      </c>
      <c r="AA24" s="26">
        <f t="shared" si="14"/>
        <v>0</v>
      </c>
      <c r="AB24" s="26">
        <f>IF(AB11=0,AB26,0)</f>
        <v>0</v>
      </c>
      <c r="AC24" s="26">
        <f>IF(AC11=0,AC26,0)</f>
        <v>0</v>
      </c>
      <c r="AD24" s="26">
        <f>IF(AD11=0,AD26,0)</f>
        <v>0</v>
      </c>
      <c r="AE24" s="26">
        <f>IF(AE11=0,AE26,0)</f>
        <v>0</v>
      </c>
      <c r="AF24" s="13">
        <f t="shared" si="9"/>
        <v>1339.1689643835616</v>
      </c>
      <c r="AH24" s="15"/>
    </row>
    <row r="25" spans="1:32" s="15" customFormat="1" ht="15" customHeight="1">
      <c r="A25" s="38" t="s">
        <v>43</v>
      </c>
      <c r="B25" s="14">
        <f>SUM(C25:F25)</f>
        <v>22380.8</v>
      </c>
      <c r="C25" s="14">
        <f>IF(C18&gt;0,'таблицы в текст'!$C$217,0)</f>
        <v>22380.8</v>
      </c>
      <c r="D25" s="14">
        <f>IF(D18&gt;0,'таблицы в текст'!$C$217,0)</f>
        <v>0</v>
      </c>
      <c r="E25" s="14">
        <f>IF(E18&gt;0,'таблицы в текст'!$C$217,0)</f>
        <v>0</v>
      </c>
      <c r="F25" s="14">
        <f>IF(F18&gt;0,'таблицы в текст'!$C$217,0)</f>
        <v>0</v>
      </c>
      <c r="G25" s="26">
        <f t="shared" si="10"/>
        <v>0</v>
      </c>
      <c r="H25" s="14"/>
      <c r="I25" s="14"/>
      <c r="J25" s="14"/>
      <c r="K25" s="14"/>
      <c r="L25" s="26">
        <f t="shared" si="11"/>
        <v>0</v>
      </c>
      <c r="M25" s="14"/>
      <c r="N25" s="14"/>
      <c r="O25" s="14"/>
      <c r="P25" s="14"/>
      <c r="Q25" s="26">
        <f t="shared" si="12"/>
        <v>0</v>
      </c>
      <c r="R25" s="14"/>
      <c r="S25" s="14"/>
      <c r="T25" s="14"/>
      <c r="U25" s="14"/>
      <c r="V25" s="26">
        <f t="shared" si="13"/>
        <v>0</v>
      </c>
      <c r="W25" s="14"/>
      <c r="X25" s="14"/>
      <c r="Y25" s="14"/>
      <c r="Z25" s="14"/>
      <c r="AA25" s="26">
        <f t="shared" si="14"/>
        <v>0</v>
      </c>
      <c r="AB25" s="14"/>
      <c r="AC25" s="14"/>
      <c r="AD25" s="14"/>
      <c r="AE25" s="14"/>
      <c r="AF25" s="13">
        <f t="shared" si="9"/>
        <v>22380.8</v>
      </c>
    </row>
    <row r="26" spans="1:32" s="15" customFormat="1" ht="17.25" customHeight="1">
      <c r="A26" s="14" t="s">
        <v>46</v>
      </c>
      <c r="B26" s="14">
        <f>SUM(C26:F26)</f>
        <v>1790.464</v>
      </c>
      <c r="C26" s="14">
        <f>'таблицы в текст'!C247</f>
        <v>441.4842739726027</v>
      </c>
      <c r="D26" s="14">
        <f>'таблицы в текст'!D247</f>
        <v>446.3896547945205</v>
      </c>
      <c r="E26" s="14">
        <f>'таблицы в текст'!E247</f>
        <v>451.2950356164383</v>
      </c>
      <c r="F26" s="14">
        <f>'таблицы в текст'!F247</f>
        <v>451.2950356164383</v>
      </c>
      <c r="G26" s="14">
        <f t="shared" si="10"/>
        <v>1567.634698856145</v>
      </c>
      <c r="H26" s="14">
        <f>'таблицы в текст'!C254</f>
        <v>420.1016455750102</v>
      </c>
      <c r="I26" s="14">
        <f>'таблицы в текст'!D254</f>
        <v>402.527069905412</v>
      </c>
      <c r="J26" s="14">
        <f>'таблицы в текст'!E254</f>
        <v>384.1092704163197</v>
      </c>
      <c r="K26" s="14">
        <f>'таблицы в текст'!F254</f>
        <v>360.89671295940286</v>
      </c>
      <c r="L26" s="14">
        <f t="shared" si="11"/>
        <v>1190.6342238634695</v>
      </c>
      <c r="M26" s="14">
        <f>'таблицы в текст'!C261</f>
        <v>329.8853040559025</v>
      </c>
      <c r="N26" s="14">
        <f>'таблицы в текст'!D261</f>
        <v>309.50894112244447</v>
      </c>
      <c r="O26" s="14">
        <f>'таблицы в текст'!E261</f>
        <v>288.1933111670127</v>
      </c>
      <c r="P26" s="14">
        <f>'таблицы в текст'!F261</f>
        <v>263.0466675181099</v>
      </c>
      <c r="Q26" s="14">
        <f t="shared" si="12"/>
        <v>782.5568113059564</v>
      </c>
      <c r="R26" s="14">
        <f>'таблицы в текст'!C268</f>
        <v>232.23224083830914</v>
      </c>
      <c r="S26" s="14">
        <f>'таблицы в текст'!D268</f>
        <v>208.82313345752726</v>
      </c>
      <c r="T26" s="14">
        <f>'таблицы в текст'!E268</f>
        <v>184.37079881025903</v>
      </c>
      <c r="U26" s="14">
        <f>'таблицы в текст'!F268</f>
        <v>157.13063819986115</v>
      </c>
      <c r="V26" s="14">
        <f t="shared" si="13"/>
        <v>340.84072422975265</v>
      </c>
      <c r="W26" s="14">
        <f>'таблицы в текст'!C275</f>
        <v>126.52943140040323</v>
      </c>
      <c r="X26" s="14">
        <f>'таблицы в текст'!D275</f>
        <v>99.8375841052058</v>
      </c>
      <c r="Y26" s="14">
        <f>'таблицы в текст'!E275</f>
        <v>71.98997963864484</v>
      </c>
      <c r="Z26" s="14">
        <f>'таблицы в текст'!F275</f>
        <v>42.48372908549877</v>
      </c>
      <c r="AA26" s="14">
        <f t="shared" si="14"/>
        <v>0</v>
      </c>
      <c r="AB26" s="14">
        <f>'таблицы в текст'!C282</f>
        <v>0</v>
      </c>
      <c r="AC26" s="14">
        <f>'таблицы в текст'!D282</f>
        <v>0</v>
      </c>
      <c r="AD26" s="14">
        <f>'таблицы в текст'!E282</f>
        <v>0</v>
      </c>
      <c r="AE26" s="14">
        <f>'таблицы в текст'!F282</f>
        <v>0</v>
      </c>
      <c r="AF26" s="13">
        <f t="shared" si="9"/>
        <v>5672.130458255324</v>
      </c>
    </row>
    <row r="27" spans="1:32" s="15" customFormat="1" ht="18.75" customHeight="1">
      <c r="A27" s="14" t="s">
        <v>47</v>
      </c>
      <c r="B27" s="14">
        <f>SUM(C27:F27)</f>
        <v>1083.9804673779556</v>
      </c>
      <c r="C27" s="14">
        <f>'таблицы в текст'!C248</f>
        <v>0</v>
      </c>
      <c r="D27" s="14">
        <f>'таблицы в текст'!D248</f>
        <v>0</v>
      </c>
      <c r="E27" s="14">
        <f>'таблицы в текст'!E248</f>
        <v>0</v>
      </c>
      <c r="F27" s="14">
        <f>'таблицы в текст'!F248</f>
        <v>1083.9804673779556</v>
      </c>
      <c r="G27" s="14">
        <f t="shared" si="10"/>
        <v>4573.467313121431</v>
      </c>
      <c r="H27" s="14">
        <f>'таблицы в текст'!C255</f>
        <v>1115.1738574193837</v>
      </c>
      <c r="I27" s="14">
        <f>'таблицы в текст'!D255</f>
        <v>1132.748433088982</v>
      </c>
      <c r="J27" s="14">
        <f>'таблицы в текст'!E255</f>
        <v>1151.1662325780742</v>
      </c>
      <c r="K27" s="14">
        <f>'таблицы в текст'!F255</f>
        <v>1174.3787900349912</v>
      </c>
      <c r="L27" s="14">
        <f t="shared" si="11"/>
        <v>4950.467788114106</v>
      </c>
      <c r="M27" s="14">
        <f>'таблицы в текст'!C262</f>
        <v>1205.3901989384915</v>
      </c>
      <c r="N27" s="14">
        <f>'таблицы в текст'!D262</f>
        <v>1225.7665618719495</v>
      </c>
      <c r="O27" s="14">
        <f>'таблицы в текст'!E262</f>
        <v>1247.0821918273812</v>
      </c>
      <c r="P27" s="14">
        <f>'таблицы в текст'!F262</f>
        <v>1272.228835476284</v>
      </c>
      <c r="Q27" s="13">
        <f t="shared" si="12"/>
        <v>5358.54520067162</v>
      </c>
      <c r="R27" s="14">
        <f>'таблицы в текст'!C269</f>
        <v>1303.043262156085</v>
      </c>
      <c r="S27" s="14">
        <f>'таблицы в текст'!D269</f>
        <v>1326.4523695368666</v>
      </c>
      <c r="T27" s="14">
        <f>'таблицы в текст'!E269</f>
        <v>1350.904704184135</v>
      </c>
      <c r="U27" s="14">
        <f>'таблицы в текст'!F269</f>
        <v>1378.1448647945329</v>
      </c>
      <c r="V27" s="14">
        <f t="shared" si="13"/>
        <v>6414.339230714886</v>
      </c>
      <c r="W27" s="14">
        <f>'таблицы в текст'!C276</f>
        <v>1408.7460715939908</v>
      </c>
      <c r="X27" s="14">
        <f>'таблицы в текст'!D276</f>
        <v>1435.437918889188</v>
      </c>
      <c r="Y27" s="14">
        <f>'таблицы в текст'!E276</f>
        <v>1463.285523355749</v>
      </c>
      <c r="Z27" s="14">
        <f>'таблицы в текст'!F276</f>
        <v>2106.869716875958</v>
      </c>
      <c r="AA27" s="13">
        <f t="shared" si="14"/>
        <v>0</v>
      </c>
      <c r="AB27" s="14">
        <f>'таблицы в текст'!C283</f>
        <v>0</v>
      </c>
      <c r="AC27" s="14">
        <f>'таблицы в текст'!D283</f>
        <v>0</v>
      </c>
      <c r="AD27" s="14">
        <f>'таблицы в текст'!E283</f>
        <v>0</v>
      </c>
      <c r="AE27" s="14">
        <f>'таблицы в текст'!F283</f>
        <v>0</v>
      </c>
      <c r="AF27" s="13">
        <f t="shared" si="9"/>
        <v>22380.8</v>
      </c>
    </row>
    <row r="28" spans="1:34" s="16" customFormat="1" ht="19.5" customHeight="1">
      <c r="A28" s="17" t="s">
        <v>48</v>
      </c>
      <c r="B28" s="14">
        <f>B21+B25-B26-B27</f>
        <v>21144.882722605606</v>
      </c>
      <c r="C28" s="14">
        <f aca="true" t="shared" si="15" ref="C28:AF28">C21+C25-C26-C27</f>
        <v>22680.1582256</v>
      </c>
      <c r="D28" s="14">
        <f t="shared" si="15"/>
        <v>0</v>
      </c>
      <c r="E28" s="14">
        <f t="shared" si="15"/>
        <v>0</v>
      </c>
      <c r="F28" s="14">
        <f t="shared" si="15"/>
        <v>-1535.275502994394</v>
      </c>
      <c r="G28" s="14">
        <f t="shared" si="15"/>
        <v>-6141.102011977577</v>
      </c>
      <c r="H28" s="14">
        <f t="shared" si="15"/>
        <v>-1535.275502994394</v>
      </c>
      <c r="I28" s="14">
        <f t="shared" si="15"/>
        <v>-1535.275502994394</v>
      </c>
      <c r="J28" s="14">
        <f t="shared" si="15"/>
        <v>-1535.275502994394</v>
      </c>
      <c r="K28" s="14">
        <f t="shared" si="15"/>
        <v>-1535.2755029943942</v>
      </c>
      <c r="L28" s="14">
        <f t="shared" si="15"/>
        <v>-6141.102011977576</v>
      </c>
      <c r="M28" s="14">
        <f t="shared" si="15"/>
        <v>-1535.275502994394</v>
      </c>
      <c r="N28" s="14">
        <f t="shared" si="15"/>
        <v>-1535.275502994394</v>
      </c>
      <c r="O28" s="14">
        <f t="shared" si="15"/>
        <v>-1535.275502994394</v>
      </c>
      <c r="P28" s="14">
        <f t="shared" si="15"/>
        <v>-1535.275502994394</v>
      </c>
      <c r="Q28" s="14">
        <f t="shared" si="15"/>
        <v>-6141.102011977576</v>
      </c>
      <c r="R28" s="14">
        <f t="shared" si="15"/>
        <v>-1535.275502994394</v>
      </c>
      <c r="S28" s="14">
        <f t="shared" si="15"/>
        <v>-1535.275502994394</v>
      </c>
      <c r="T28" s="14">
        <f t="shared" si="15"/>
        <v>-1535.275502994394</v>
      </c>
      <c r="U28" s="14">
        <f t="shared" si="15"/>
        <v>-1535.275502994394</v>
      </c>
      <c r="V28" s="14">
        <f t="shared" si="15"/>
        <v>-6755.179954944639</v>
      </c>
      <c r="W28" s="14">
        <f t="shared" si="15"/>
        <v>-1535.275502994394</v>
      </c>
      <c r="X28" s="14">
        <f t="shared" si="15"/>
        <v>-1535.275502994394</v>
      </c>
      <c r="Y28" s="14">
        <f t="shared" si="15"/>
        <v>-1535.275502994394</v>
      </c>
      <c r="Z28" s="14">
        <f t="shared" si="15"/>
        <v>-2149.353445961457</v>
      </c>
      <c r="AA28" s="14">
        <f t="shared" si="15"/>
        <v>0</v>
      </c>
      <c r="AB28" s="14">
        <f t="shared" si="15"/>
        <v>0</v>
      </c>
      <c r="AC28" s="14">
        <f t="shared" si="15"/>
        <v>0</v>
      </c>
      <c r="AD28" s="14">
        <f t="shared" si="15"/>
        <v>0</v>
      </c>
      <c r="AE28" s="14">
        <f t="shared" si="15"/>
        <v>0</v>
      </c>
      <c r="AF28" s="14">
        <f t="shared" si="15"/>
        <v>-4033.603268271763</v>
      </c>
      <c r="AH28" s="15"/>
    </row>
    <row r="29" spans="1:34" s="40" customFormat="1" ht="29.25" customHeight="1">
      <c r="A29" s="22" t="s">
        <v>51</v>
      </c>
      <c r="B29" s="14">
        <f aca="true" t="shared" si="16" ref="B29:AE29">B28+B19+B16</f>
        <v>221.41743925235482</v>
      </c>
      <c r="C29" s="14">
        <f t="shared" si="16"/>
        <v>0</v>
      </c>
      <c r="D29" s="14">
        <f t="shared" si="16"/>
        <v>0</v>
      </c>
      <c r="E29" s="14">
        <f t="shared" si="16"/>
        <v>0</v>
      </c>
      <c r="F29" s="14">
        <f t="shared" si="16"/>
        <v>221.4174392523555</v>
      </c>
      <c r="G29" s="14">
        <f t="shared" si="16"/>
        <v>2991.4066414508943</v>
      </c>
      <c r="H29" s="14">
        <f t="shared" si="16"/>
        <v>-20.866551979724818</v>
      </c>
      <c r="I29" s="14">
        <f t="shared" si="16"/>
        <v>844.2716704721495</v>
      </c>
      <c r="J29" s="14">
        <f t="shared" si="16"/>
        <v>1955.6239159718186</v>
      </c>
      <c r="K29" s="14">
        <f t="shared" si="16"/>
        <v>212.37760698665193</v>
      </c>
      <c r="L29" s="14">
        <f t="shared" si="16"/>
        <v>2953.706593951628</v>
      </c>
      <c r="M29" s="14">
        <f t="shared" si="16"/>
        <v>-29.88818613163562</v>
      </c>
      <c r="N29" s="14">
        <f t="shared" si="16"/>
        <v>834.9698575938526</v>
      </c>
      <c r="O29" s="14">
        <f t="shared" si="16"/>
        <v>1946.0323200468881</v>
      </c>
      <c r="P29" s="14">
        <f t="shared" si="16"/>
        <v>202.59260244252278</v>
      </c>
      <c r="Q29" s="14">
        <f t="shared" si="16"/>
        <v>2912.8988526958756</v>
      </c>
      <c r="R29" s="14">
        <f t="shared" si="16"/>
        <v>-39.65349245339485</v>
      </c>
      <c r="S29" s="14">
        <f t="shared" si="16"/>
        <v>824.9012768273608</v>
      </c>
      <c r="T29" s="14">
        <f t="shared" si="16"/>
        <v>1935.6500688112126</v>
      </c>
      <c r="U29" s="14">
        <f t="shared" si="16"/>
        <v>192.00099951069797</v>
      </c>
      <c r="V29" s="14">
        <f t="shared" si="16"/>
        <v>2254.6493010211925</v>
      </c>
      <c r="W29" s="14">
        <f t="shared" si="16"/>
        <v>-50.223773397185596</v>
      </c>
      <c r="X29" s="14">
        <f t="shared" si="16"/>
        <v>814.0027218921289</v>
      </c>
      <c r="Y29" s="14">
        <f t="shared" si="16"/>
        <v>1924.4119868940513</v>
      </c>
      <c r="Z29" s="14">
        <f t="shared" si="16"/>
        <v>-433.5416343678014</v>
      </c>
      <c r="AA29" s="14">
        <f t="shared" si="16"/>
        <v>0</v>
      </c>
      <c r="AB29" s="14">
        <f t="shared" si="16"/>
        <v>0</v>
      </c>
      <c r="AC29" s="14">
        <f t="shared" si="16"/>
        <v>0</v>
      </c>
      <c r="AD29" s="14">
        <f t="shared" si="16"/>
        <v>0</v>
      </c>
      <c r="AE29" s="14">
        <f t="shared" si="16"/>
        <v>0</v>
      </c>
      <c r="AF29" s="13">
        <f t="shared" si="9"/>
        <v>11334.078828371945</v>
      </c>
      <c r="AH29" s="15"/>
    </row>
    <row r="30" spans="1:34" s="40" customFormat="1" ht="17.25" customHeight="1">
      <c r="A30" s="22" t="s">
        <v>49</v>
      </c>
      <c r="B30" s="22">
        <v>0</v>
      </c>
      <c r="C30" s="22"/>
      <c r="D30" s="22"/>
      <c r="E30" s="22">
        <f>D31</f>
        <v>0</v>
      </c>
      <c r="F30" s="22">
        <f>E31</f>
        <v>0</v>
      </c>
      <c r="G30" s="22">
        <f>B31</f>
        <v>221.41743925235482</v>
      </c>
      <c r="H30" s="22">
        <f>F31</f>
        <v>221.4174392523555</v>
      </c>
      <c r="I30" s="22">
        <f>H31</f>
        <v>200.5508872726307</v>
      </c>
      <c r="J30" s="22">
        <f>I31</f>
        <v>1044.8225577447802</v>
      </c>
      <c r="K30" s="22">
        <f>J31</f>
        <v>3000.446473716599</v>
      </c>
      <c r="L30" s="22">
        <f>G31</f>
        <v>3212.824080703249</v>
      </c>
      <c r="M30" s="22">
        <f>K31</f>
        <v>3212.8240807032507</v>
      </c>
      <c r="N30" s="22">
        <f>M31</f>
        <v>3182.935894571615</v>
      </c>
      <c r="O30" s="22">
        <f>N31</f>
        <v>4017.9057521654677</v>
      </c>
      <c r="P30" s="22">
        <f>O31</f>
        <v>5963.938072212356</v>
      </c>
      <c r="Q30" s="22">
        <f>L31</f>
        <v>6166.530674654877</v>
      </c>
      <c r="R30" s="22">
        <f>P31</f>
        <v>6166.530674654879</v>
      </c>
      <c r="S30" s="22">
        <f>R31</f>
        <v>6126.877182201484</v>
      </c>
      <c r="T30" s="22">
        <f>S31</f>
        <v>6951.778459028845</v>
      </c>
      <c r="U30" s="22">
        <f>T31</f>
        <v>8887.428527840057</v>
      </c>
      <c r="V30" s="22">
        <f>Q31</f>
        <v>9079.429527350752</v>
      </c>
      <c r="W30" s="22">
        <f>U31</f>
        <v>9079.429527350754</v>
      </c>
      <c r="X30" s="22">
        <f>W31</f>
        <v>9029.205753953569</v>
      </c>
      <c r="Y30" s="22">
        <f>X31</f>
        <v>9843.208475845699</v>
      </c>
      <c r="Z30" s="22">
        <f>Y31</f>
        <v>11767.62046273975</v>
      </c>
      <c r="AA30" s="22">
        <f>V31</f>
        <v>11334.078828371945</v>
      </c>
      <c r="AB30" s="22">
        <f>Z31</f>
        <v>11334.078828371948</v>
      </c>
      <c r="AC30" s="22">
        <f>AB31</f>
        <v>11334.078828371948</v>
      </c>
      <c r="AD30" s="22">
        <f>AC31</f>
        <v>11334.078828371948</v>
      </c>
      <c r="AE30" s="22">
        <f>AD31</f>
        <v>11334.078828371948</v>
      </c>
      <c r="AF30" s="22">
        <f>C30</f>
        <v>0</v>
      </c>
      <c r="AH30" s="15"/>
    </row>
    <row r="31" spans="1:34" s="42" customFormat="1" ht="13.5" customHeight="1" thickBot="1">
      <c r="A31" s="149" t="s">
        <v>50</v>
      </c>
      <c r="B31" s="149">
        <f aca="true" t="shared" si="17" ref="B31:G31">B30+B29</f>
        <v>221.41743925235482</v>
      </c>
      <c r="C31" s="149">
        <f t="shared" si="17"/>
        <v>0</v>
      </c>
      <c r="D31" s="149">
        <f t="shared" si="17"/>
        <v>0</v>
      </c>
      <c r="E31" s="149">
        <f>E30+E29</f>
        <v>0</v>
      </c>
      <c r="F31" s="149">
        <f t="shared" si="17"/>
        <v>221.4174392523555</v>
      </c>
      <c r="G31" s="149">
        <f t="shared" si="17"/>
        <v>3212.824080703249</v>
      </c>
      <c r="H31" s="149">
        <f>H30+H29</f>
        <v>200.5508872726307</v>
      </c>
      <c r="I31" s="149">
        <f aca="true" t="shared" si="18" ref="I31:S31">I30+I29</f>
        <v>1044.8225577447802</v>
      </c>
      <c r="J31" s="149">
        <f t="shared" si="18"/>
        <v>3000.446473716599</v>
      </c>
      <c r="K31" s="149">
        <f t="shared" si="18"/>
        <v>3212.8240807032507</v>
      </c>
      <c r="L31" s="149">
        <f t="shared" si="18"/>
        <v>6166.530674654877</v>
      </c>
      <c r="M31" s="149">
        <f t="shared" si="18"/>
        <v>3182.935894571615</v>
      </c>
      <c r="N31" s="149">
        <f t="shared" si="18"/>
        <v>4017.9057521654677</v>
      </c>
      <c r="O31" s="149">
        <f t="shared" si="18"/>
        <v>5963.938072212356</v>
      </c>
      <c r="P31" s="149">
        <f t="shared" si="18"/>
        <v>6166.530674654879</v>
      </c>
      <c r="Q31" s="149">
        <f t="shared" si="18"/>
        <v>9079.429527350752</v>
      </c>
      <c r="R31" s="149">
        <f t="shared" si="18"/>
        <v>6126.877182201484</v>
      </c>
      <c r="S31" s="149">
        <f t="shared" si="18"/>
        <v>6951.778459028845</v>
      </c>
      <c r="T31" s="149">
        <f aca="true" t="shared" si="19" ref="T31:Z31">T30+T29</f>
        <v>8887.428527840057</v>
      </c>
      <c r="U31" s="149">
        <f t="shared" si="19"/>
        <v>9079.429527350754</v>
      </c>
      <c r="V31" s="149">
        <f t="shared" si="19"/>
        <v>11334.078828371945</v>
      </c>
      <c r="W31" s="149">
        <f t="shared" si="19"/>
        <v>9029.205753953569</v>
      </c>
      <c r="X31" s="149">
        <f t="shared" si="19"/>
        <v>9843.208475845699</v>
      </c>
      <c r="Y31" s="149">
        <f t="shared" si="19"/>
        <v>11767.62046273975</v>
      </c>
      <c r="Z31" s="149">
        <f t="shared" si="19"/>
        <v>11334.078828371948</v>
      </c>
      <c r="AA31" s="149">
        <f aca="true" t="shared" si="20" ref="AA31:AF31">AA30+AA29</f>
        <v>11334.078828371945</v>
      </c>
      <c r="AB31" s="149">
        <f t="shared" si="20"/>
        <v>11334.078828371948</v>
      </c>
      <c r="AC31" s="149">
        <f t="shared" si="20"/>
        <v>11334.078828371948</v>
      </c>
      <c r="AD31" s="149">
        <f t="shared" si="20"/>
        <v>11334.078828371948</v>
      </c>
      <c r="AE31" s="149">
        <f t="shared" si="20"/>
        <v>11334.078828371948</v>
      </c>
      <c r="AF31" s="149">
        <f t="shared" si="20"/>
        <v>11334.078828371945</v>
      </c>
      <c r="AH31" s="15"/>
    </row>
    <row r="32" spans="1:27" ht="13.5" customHeight="1" thickTop="1">
      <c r="A32" s="173"/>
      <c r="AA32" s="35"/>
    </row>
    <row r="33" spans="1:27" ht="13.5" customHeight="1">
      <c r="A33" s="174" t="s">
        <v>210</v>
      </c>
      <c r="B33" s="175"/>
      <c r="AA33" s="35"/>
    </row>
    <row r="34" ht="13.5" customHeight="1">
      <c r="AA34" s="35"/>
    </row>
    <row r="35" ht="13.5" customHeight="1">
      <c r="AA35" s="35"/>
    </row>
    <row r="36" ht="13.5" customHeight="1">
      <c r="AA36" s="35"/>
    </row>
    <row r="37" ht="13.5" customHeight="1">
      <c r="AA37" s="35"/>
    </row>
    <row r="38" ht="13.5" customHeight="1">
      <c r="AA38" s="35"/>
    </row>
    <row r="39" ht="13.5" customHeight="1">
      <c r="AA39" s="35"/>
    </row>
    <row r="40" ht="13.5" customHeight="1">
      <c r="AA40" s="35"/>
    </row>
    <row r="41" ht="13.5" customHeight="1">
      <c r="AA41" s="35"/>
    </row>
    <row r="42" ht="13.5" customHeight="1">
      <c r="AA42" s="35"/>
    </row>
    <row r="43" ht="13.5" customHeight="1">
      <c r="AA43" s="35"/>
    </row>
    <row r="44" ht="13.5" customHeight="1">
      <c r="AA44" s="35"/>
    </row>
    <row r="45" ht="13.5" customHeight="1">
      <c r="AA45" s="35"/>
    </row>
    <row r="46" ht="13.5" customHeight="1">
      <c r="AA46" s="35"/>
    </row>
    <row r="47" ht="13.5" customHeight="1">
      <c r="AA47" s="35"/>
    </row>
    <row r="48" ht="13.5" customHeight="1">
      <c r="AA48" s="35"/>
    </row>
    <row r="49" ht="13.5" customHeight="1">
      <c r="AA49" s="35"/>
    </row>
  </sheetData>
  <sheetProtection/>
  <mergeCells count="20">
    <mergeCell ref="C8:F8"/>
    <mergeCell ref="H8:K8"/>
    <mergeCell ref="R8:U8"/>
    <mergeCell ref="V7:Z7"/>
    <mergeCell ref="W8:Z8"/>
    <mergeCell ref="Q8:Q9"/>
    <mergeCell ref="L7:P7"/>
    <mergeCell ref="M8:P8"/>
    <mergeCell ref="Q7:U7"/>
    <mergeCell ref="V8:V9"/>
    <mergeCell ref="AA7:AE7"/>
    <mergeCell ref="AA8:AA9"/>
    <mergeCell ref="AB8:AE8"/>
    <mergeCell ref="AF7:AF9"/>
    <mergeCell ref="A7:A9"/>
    <mergeCell ref="G7:K7"/>
    <mergeCell ref="B7:F7"/>
    <mergeCell ref="L8:L9"/>
    <mergeCell ref="B8:B9"/>
    <mergeCell ref="G8:G9"/>
  </mergeCells>
  <printOptions horizontalCentered="1"/>
  <pageMargins left="0.15748031496062992" right="0.1968503937007874" top="0.3937007874015748" bottom="0.2362204724409449" header="0.7086614173228347" footer="0.6299212598425197"/>
  <pageSetup fitToWidth="2" fitToHeight="1" horizontalDpi="120" verticalDpi="12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 Божевольная З.А. BiZinvest14</dc:creator>
  <cp:keywords/>
  <dc:description/>
  <cp:lastModifiedBy>Пользователь Windows</cp:lastModifiedBy>
  <cp:lastPrinted>2019-09-20T17:25:07Z</cp:lastPrinted>
  <dcterms:created xsi:type="dcterms:W3CDTF">2004-11-08T08:09:30Z</dcterms:created>
  <dcterms:modified xsi:type="dcterms:W3CDTF">2019-09-20T18:36:36Z</dcterms:modified>
  <cp:category/>
  <cp:version/>
  <cp:contentType/>
  <cp:contentStatus/>
</cp:coreProperties>
</file>