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30" windowWidth="13875" windowHeight="8100" tabRatio="750" activeTab="0"/>
  </bookViews>
  <sheets>
    <sheet name="таблицы в текст" sheetId="1" r:id="rId1"/>
    <sheet name="приложение 1" sheetId="2" r:id="rId2"/>
    <sheet name="приложение 2" sheetId="3" r:id="rId3"/>
  </sheets>
  <externalReferences>
    <externalReference r:id="rId6"/>
  </externalReferences>
  <definedNames>
    <definedName name="_01.янв.19">#REF!</definedName>
    <definedName name="month_in_per">'[1]Input'!$D$41</definedName>
    <definedName name="график">#REF!</definedName>
    <definedName name="Даты">#REF!</definedName>
    <definedName name="_xlnm.Print_Titles" localSheetId="1">'приложение 1'!$A:$A</definedName>
    <definedName name="_xlnm.Print_Titles" localSheetId="2">'приложение 2'!$A:$A,'приложение 2'!$7:$9</definedName>
    <definedName name="_xlnm.Print_Area" localSheetId="1">'приложение 1'!$A$1:$AF$35</definedName>
    <definedName name="_xlnm.Print_Area" localSheetId="2">'приложение 2'!$A$1:$AF$31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D33" authorId="0">
      <text>
        <r>
          <rPr>
            <sz val="9"/>
            <rFont val="Arial"/>
            <family val="2"/>
          </rPr>
          <t xml:space="preserve">Вписываете год, в который планируете начать проект
</t>
        </r>
      </text>
    </comment>
    <comment ref="D35" authorId="0">
      <text>
        <r>
          <rPr>
            <sz val="9"/>
            <rFont val="Arial"/>
            <family val="2"/>
          </rPr>
          <t xml:space="preserve">Вписываете номер шага (квартала). Например, "1" соответствует первому кварталу года, в который планируете начать проект, а "4" - 1 кварталу года, следующего за тем, в котором планируется начать проект
</t>
        </r>
      </text>
    </comment>
    <comment ref="D38" authorId="0">
      <text>
        <r>
          <rPr>
            <sz val="9"/>
            <rFont val="Tahoma"/>
            <family val="2"/>
          </rPr>
          <t>Вписываете номер шага (квартала). Например, "2" соответствует второму кварталу года, в который планируете начать проект, а "4" - первому кварталу года, следующего за тем, в котором планируется начать проект</t>
        </r>
      </text>
    </comment>
    <comment ref="E119" authorId="0">
      <text>
        <r>
          <rPr>
            <sz val="9"/>
            <rFont val="Arial"/>
            <family val="2"/>
          </rPr>
          <t xml:space="preserve">Кд - поправочный коэффициент к стоимости доставки оборудовани. 
Ориентировочно Кд равен:
1. Западная группа (Ленский, Мирнинский, Олекминский муниципальные районы) - 1;
2. Вилюйская группа (Вилюйский, Верхневилюйский, Нюрбинский, Сунтарский муниципальные районы) - 1,1;
3. Центральная группа (Хангаласский, Намский, Горный муниципальные районы) - 1,3;
4. Арктическая группа (Абыйский, Аллаиховский, Анабарский, Булунский, Нижнеколымский, Оленекский муниципальные районы) - 1,4 </t>
        </r>
        <r>
          <rPr>
            <sz val="9"/>
            <rFont val="Tahoma"/>
            <family val="2"/>
          </rPr>
          <t xml:space="preserve">
Примечание: Вы можете указать точную стоимость доставки, тогда Кд следует принять равным 1.</t>
        </r>
      </text>
    </comment>
    <comment ref="D207" authorId="0">
      <text>
        <r>
          <rPr>
            <sz val="9"/>
            <rFont val="Tahoma"/>
            <family val="2"/>
          </rPr>
          <t>Нормы по видам тепловой энергии (ориентировочно):
1) центральное отопление - 0,5616 Гкал
2) электрические котлы - 671 кВт*ч
3) газовые котлы - 60 куб. м
4) уголь - 110 кг</t>
        </r>
      </text>
    </comment>
    <comment ref="E207" authorId="0">
      <text>
        <r>
          <rPr>
            <sz val="9"/>
            <rFont val="Arial"/>
            <family val="2"/>
          </rPr>
          <t>Коэффициент К1 - это поправка за климатическую зону.
К1 равен:
1. Западная группа (Ленский, Мирнинский, Олекминский муниципальные районы) - 1;
2. Вилюйская группа (Вилюйский, Верхневилюйский, Нюрбинский, Сунтарский муниципальные районы) - 1,01;
3. Центральная группа (Хангаласский, Намский, Горный муниципальные районы) - 1,04;
4. Арктическая группа (Абыйский, Аллаиховский, Анабарский, Булунский, Нижнеколымский, Оленекский муниципальные районы) - 1,19</t>
        </r>
      </text>
    </comment>
    <comment ref="B260" authorId="0">
      <text>
        <r>
          <rPr>
            <sz val="9"/>
            <rFont val="Times New Roman"/>
            <family val="1"/>
          </rPr>
          <t xml:space="preserve">Рассчитать сумму налоговых отчислений можно на сайте ФНС России. Режим доступа: https://patent.nalog.ru/info/#
</t>
        </r>
      </text>
    </comment>
    <comment ref="B257" authorId="0">
      <text>
        <r>
          <rPr>
            <sz val="9"/>
            <rFont val="Times New Roman"/>
            <family val="1"/>
          </rPr>
          <t>Рассчитывается в размере 6% от суммы плановой выручки, то есть:
Выручка (табл. 4-5) х 0,06</t>
        </r>
      </text>
    </comment>
    <comment ref="B258" authorId="0">
      <text>
        <r>
          <rPr>
            <sz val="9"/>
            <rFont val="Times New Roman"/>
            <family val="1"/>
          </rPr>
          <t>Рассчитывается в размере 10% от суммы плановой выручки за минусом плановых расходов, то есть:
Выручка (табл. 4-5) минус Расходы (табл. 4-15) х 0,10</t>
        </r>
      </text>
    </comment>
    <comment ref="B259" authorId="0">
      <text>
        <r>
          <rPr>
            <sz val="9"/>
            <rFont val="Times New Roman"/>
            <family val="1"/>
          </rPr>
          <t>Рассчитать сумму налоговых отчислений можно на сайте ФНС России. Режим доступа:
https://www.nalog.ru/rn14/taxation/taxes/envd/</t>
        </r>
      </text>
    </comment>
    <comment ref="B284" authorId="0">
      <text>
        <r>
          <rPr>
            <sz val="9"/>
            <rFont val="Times New Roman"/>
            <family val="1"/>
          </rPr>
          <t xml:space="preserve">Некапитализируемые расходы - это расходы не вошедшие в другие группы расходов, но требуемые для начала реализации проекта (например, расходы на обучение персонала, расходы на маркетинг, авансовая оплата за аренду </t>
        </r>
        <r>
          <rPr>
            <sz val="9"/>
            <rFont val="Tahoma"/>
            <family val="2"/>
          </rPr>
          <t xml:space="preserve"> </t>
        </r>
      </text>
    </comment>
    <comment ref="G14" authorId="0">
      <text>
        <r>
          <rPr>
            <sz val="9"/>
            <rFont val="Tahoma"/>
            <family val="2"/>
          </rPr>
          <t>Ячейка с примечанием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<sst xmlns="http://schemas.openxmlformats.org/spreadsheetml/2006/main" count="527" uniqueCount="364">
  <si>
    <t>Индекс доходности инвестиций</t>
  </si>
  <si>
    <t>Внутренняя норма доходности</t>
  </si>
  <si>
    <t>Показатель</t>
  </si>
  <si>
    <t>Ед. изм.</t>
  </si>
  <si>
    <t>2 кв.</t>
  </si>
  <si>
    <t>Показатели</t>
  </si>
  <si>
    <t>всего</t>
  </si>
  <si>
    <t>по кварталам</t>
  </si>
  <si>
    <t>тыс. руб.</t>
  </si>
  <si>
    <t>в том числе:</t>
  </si>
  <si>
    <t>ВСЕГО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</si>
  <si>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</si>
  <si>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</si>
  <si>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</si>
  <si>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</si>
  <si>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</si>
  <si>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</si>
  <si>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</si>
  <si>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</si>
  <si>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</si>
  <si>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</si>
  <si>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</si>
  <si>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</si>
  <si>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</si>
  <si>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</si>
  <si>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1 кв</t>
  </si>
  <si>
    <t>3 кв</t>
  </si>
  <si>
    <t>4 кв</t>
  </si>
  <si>
    <t>Выплаты всего</t>
  </si>
  <si>
    <t>Возврат основного долга</t>
  </si>
  <si>
    <t>-</t>
  </si>
  <si>
    <t>Материальные расходы</t>
  </si>
  <si>
    <t>Амортизация</t>
  </si>
  <si>
    <t>на уплату процентов по займу в инвест.период</t>
  </si>
  <si>
    <t>%</t>
  </si>
  <si>
    <t>лет</t>
  </si>
  <si>
    <t>х</t>
  </si>
  <si>
    <t>4 кв.</t>
  </si>
  <si>
    <t>1 кв.</t>
  </si>
  <si>
    <t>3 кв.</t>
  </si>
  <si>
    <t xml:space="preserve">Проценты на привлеченные долговые обязательства </t>
  </si>
  <si>
    <t xml:space="preserve">Прибыль до налогообложения </t>
  </si>
  <si>
    <t xml:space="preserve">Чистая прибыль - NP </t>
  </si>
  <si>
    <t xml:space="preserve">Поток от операционной деятельности </t>
  </si>
  <si>
    <t>Привлечение заемных средств</t>
  </si>
  <si>
    <t>Поток от инвестиционной деятельности</t>
  </si>
  <si>
    <t xml:space="preserve">Собственный капитал </t>
  </si>
  <si>
    <t>Расходы по выплате процентов</t>
  </si>
  <si>
    <t xml:space="preserve">Расходы по погашению долговых обязательств </t>
  </si>
  <si>
    <t xml:space="preserve">Поток от финансовой деятельности </t>
  </si>
  <si>
    <t>Кэш-фло на начало периода</t>
  </si>
  <si>
    <t>Кэш-фло на конец периода</t>
  </si>
  <si>
    <t xml:space="preserve">Чистые денежные потоки от всех видов деятельности </t>
  </si>
  <si>
    <t>Данные  для текстовой части бизнес-плана</t>
  </si>
  <si>
    <t>ПРАВИЛА ЗАПОЛНЕНИЯ ТАБЛИЦ</t>
  </si>
  <si>
    <t>2. Комментарии к заполнению находятся в примечаниях к ячейкам</t>
  </si>
  <si>
    <t>Для того, чтобы увидеть примечание, надо встать на ячейку с красным треугольником в углу</t>
  </si>
  <si>
    <t>Год начала проекта</t>
  </si>
  <si>
    <t>(вписываете год)</t>
  </si>
  <si>
    <t>Шаг начала проекта</t>
  </si>
  <si>
    <t>УСЛОВИЯ И ДОПУЩЕНИЯ, ПРИНЯТЫЕ В РАСЧЕТАХ</t>
  </si>
  <si>
    <t>квартал</t>
  </si>
  <si>
    <t>Период расчетов</t>
  </si>
  <si>
    <t>5 лет</t>
  </si>
  <si>
    <t>Шаг расчетов</t>
  </si>
  <si>
    <t>Количество шагов</t>
  </si>
  <si>
    <t>Шаг начала эксплуатационной стадии</t>
  </si>
  <si>
    <t>(вписывает квартал, в котором планируется финансирование проекта)</t>
  </si>
  <si>
    <t>(вписывает квартал, в котором планируете начать производство и реализацию)</t>
  </si>
  <si>
    <t>ВРЕМЕННЫЕ ПРЕДПОСЫЛКИ</t>
  </si>
  <si>
    <t>На данном листе находятся таблицы, которые после заполнения вы вставите в описательную часть бизнес-плана.</t>
  </si>
  <si>
    <t>КАДРОВОЕ ОБЕСПЕЧЕНИЕ ПРОЕКТА</t>
  </si>
  <si>
    <t>Должность</t>
  </si>
  <si>
    <t>Оплата труда в месяц, руб.</t>
  </si>
  <si>
    <t>Число работников, ед.</t>
  </si>
  <si>
    <t>Руководитель</t>
  </si>
  <si>
    <t>Разнорабочий</t>
  </si>
  <si>
    <t>Итого</t>
  </si>
  <si>
    <t>1. Не заполняются только ячейки, выделенные зеленым цветом</t>
  </si>
  <si>
    <t>Заполните таблицу:</t>
  </si>
  <si>
    <t>УДЕЛЬНЫЙ РАСХОД СЫРЬЯ</t>
  </si>
  <si>
    <t>Стоимость, руб.</t>
  </si>
  <si>
    <t>Вы можете менять значения в любых ячейках, которые не выделены цветом</t>
  </si>
  <si>
    <t>4-1. Удельный расход сырья на единицу продукции</t>
  </si>
  <si>
    <t>Наименование оборудования</t>
  </si>
  <si>
    <t>Цена, руб. за ед.</t>
  </si>
  <si>
    <t>ИТОГО:</t>
  </si>
  <si>
    <t>Доставка оборудования:</t>
  </si>
  <si>
    <t>Поправочный коэффициент по доставке (Кд):</t>
  </si>
  <si>
    <t>Сумма, тыс. руб.</t>
  </si>
  <si>
    <t>Доставка оборудования с учетом Кд:</t>
  </si>
  <si>
    <t>ТЕХНОЛОГИЧЕСКОЕ ОБОРУДОВАНИЕ ПРОЕКТА</t>
  </si>
  <si>
    <t>ПРОИЗВОДСТВЕННЫЕ ПОКАЗАТЕЛИ</t>
  </si>
  <si>
    <t xml:space="preserve">Количество календарных дней </t>
  </si>
  <si>
    <t>Количество рабочих дней в периоде</t>
  </si>
  <si>
    <t>Продукция</t>
  </si>
  <si>
    <t>Цена за единицу, руб.</t>
  </si>
  <si>
    <t>Выручка, тыс. руб.</t>
  </si>
  <si>
    <t>в день</t>
  </si>
  <si>
    <t>в год</t>
  </si>
  <si>
    <t>ТЕКУЩИЕ РАСХОДЫ</t>
  </si>
  <si>
    <t>Удельный расход, руб. на ед.</t>
  </si>
  <si>
    <t>Материальные расходы, тыс. руб.</t>
  </si>
  <si>
    <t>Фонд оплаты труда, тыс. руб.</t>
  </si>
  <si>
    <t>ФОТ с отчислениями, тыс. руб.</t>
  </si>
  <si>
    <t>Значение показателя</t>
  </si>
  <si>
    <t>Тариф, руб. за кВт</t>
  </si>
  <si>
    <t>Расходы в год, тыс. руб.</t>
  </si>
  <si>
    <t>Система отопления (вид ресурса)</t>
  </si>
  <si>
    <t>Тепловая нагрузка, ед. на кв. м в год</t>
  </si>
  <si>
    <t>Площадь, кв. м</t>
  </si>
  <si>
    <t>Объем потреб-ления, ед. в год</t>
  </si>
  <si>
    <t>Тариф, руб. за ед.</t>
  </si>
  <si>
    <t>* К1 – поправочный коэффициент за климатическую зону</t>
  </si>
  <si>
    <t>Статья расходов</t>
  </si>
  <si>
    <t>Тариф, руб. за кв. м</t>
  </si>
  <si>
    <t>Аренда</t>
  </si>
  <si>
    <t>Актив</t>
  </si>
  <si>
    <t>Срок службы, лет</t>
  </si>
  <si>
    <t>Норма амортизации</t>
  </si>
  <si>
    <t>Балансовая стоимость, тыс. руб.</t>
  </si>
  <si>
    <t>Амортизация в год, тыс. руб.</t>
  </si>
  <si>
    <t>Здание</t>
  </si>
  <si>
    <t>Оборудование</t>
  </si>
  <si>
    <t>Транспорт</t>
  </si>
  <si>
    <t>Сумма расходов в год, тыс. руб.</t>
  </si>
  <si>
    <t>Расходы на услуги связи</t>
  </si>
  <si>
    <t>Расходы на маркетинг (контентная реклама, печатная продукция)</t>
  </si>
  <si>
    <t>Расходы на охрану</t>
  </si>
  <si>
    <t>Структура</t>
  </si>
  <si>
    <t>Расходы на ФОТ</t>
  </si>
  <si>
    <t>Расходы на электроэнергию</t>
  </si>
  <si>
    <t>Расходы на воду</t>
  </si>
  <si>
    <t>Расходы на отопление</t>
  </si>
  <si>
    <t>Расходы на аренду</t>
  </si>
  <si>
    <t>Прочие расходы</t>
  </si>
  <si>
    <t>НАЛОГИ</t>
  </si>
  <si>
    <t>Вид</t>
  </si>
  <si>
    <t>Патент</t>
  </si>
  <si>
    <t>УСН (доходы)</t>
  </si>
  <si>
    <t>ЕНВД</t>
  </si>
  <si>
    <t>УСН (расходы)</t>
  </si>
  <si>
    <t>Структура, в процентах к итогу</t>
  </si>
  <si>
    <t>Нематериальные активы</t>
  </si>
  <si>
    <t>Основные фонды</t>
  </si>
  <si>
    <t>Здания</t>
  </si>
  <si>
    <t>Оборотные активы (сырье)</t>
  </si>
  <si>
    <t>Некапитализируемые расходы</t>
  </si>
  <si>
    <t>Источник финансирования</t>
  </si>
  <si>
    <t>Заемное финансирование в Фонде РП РС(Я)</t>
  </si>
  <si>
    <t>Лизинг в Региональной лизинговой компании</t>
  </si>
  <si>
    <t>Банковское (или иное) кредитование</t>
  </si>
  <si>
    <t>Собственные средства</t>
  </si>
  <si>
    <t>ИСТОЧНИКИ ФИНАНСИРОВАНИЯ И ИНВЕСТИЦИИ В ПРОЕКТ</t>
  </si>
  <si>
    <t>Остаточная стоимость</t>
  </si>
  <si>
    <t>Срок, лет</t>
  </si>
  <si>
    <t>Процентная ставка, %</t>
  </si>
  <si>
    <t>Условия привлечения средств:</t>
  </si>
  <si>
    <t>Отсрочка по выплате долга, мес.</t>
  </si>
  <si>
    <t>Долговое финансирование</t>
  </si>
  <si>
    <t>Источники собственного капитала</t>
  </si>
  <si>
    <t>Иное: гранты и т.п. (указать)</t>
  </si>
  <si>
    <t>Приложение 1</t>
  </si>
  <si>
    <t xml:space="preserve">3. Просмотрите лист до конца, чтобы заполнить все таблицы </t>
  </si>
  <si>
    <t>НАЗВАНИЕ ПРОЕКТА:</t>
  </si>
  <si>
    <t>ПЛАН ПО ПРИБЫЛИ, тыс. руб.</t>
  </si>
  <si>
    <t xml:space="preserve">Выручка </t>
  </si>
  <si>
    <t>2 год</t>
  </si>
  <si>
    <t>3 год</t>
  </si>
  <si>
    <t>4 год</t>
  </si>
  <si>
    <t>5 год</t>
  </si>
  <si>
    <t>Переменные расходы</t>
  </si>
  <si>
    <t>Сезонность по кварталам календарного года</t>
  </si>
  <si>
    <t>Валовая прибыль</t>
  </si>
  <si>
    <t>Постоянные расходы</t>
  </si>
  <si>
    <t>Оплата процентов</t>
  </si>
  <si>
    <t>2 кв</t>
  </si>
  <si>
    <t>Количество дней в периоде</t>
  </si>
  <si>
    <t>Оплата процентов всего</t>
  </si>
  <si>
    <t>Возврат основного долга всего</t>
  </si>
  <si>
    <t>Операционная прибыль</t>
  </si>
  <si>
    <t>Налоги в составе себестоимости: ЕНВД, патент</t>
  </si>
  <si>
    <t>Индекс-дефлятор</t>
  </si>
  <si>
    <t>Индекс потребительских цен на товары и услуги</t>
  </si>
  <si>
    <t>Индекс-дефлятор: реальная заработная плата</t>
  </si>
  <si>
    <t>Индекс-дефлятор: газ, вода, электроэнергия</t>
  </si>
  <si>
    <t xml:space="preserve">Налог по УСН </t>
  </si>
  <si>
    <t xml:space="preserve">база: доходы </t>
  </si>
  <si>
    <t>база: доходы минус расходы</t>
  </si>
  <si>
    <t>Приложение 2</t>
  </si>
  <si>
    <t>ПЛАН ДВИЖЕНИЯ ДЕНЕГ, тыс. руб.</t>
  </si>
  <si>
    <t>ОПЕРАЦИОННАЯ ДЕЯТЕЛЬНОСТЬ</t>
  </si>
  <si>
    <t>Текущие расходы проекта</t>
  </si>
  <si>
    <t>Налоги</t>
  </si>
  <si>
    <t>в том числе: амортизация</t>
  </si>
  <si>
    <t>Инвестиции в проект</t>
  </si>
  <si>
    <t>на финансирование проекта</t>
  </si>
  <si>
    <t>ИНВЕСТИЦИАОННАЯ ДЕЯТЕЛЬНОСТЬ</t>
  </si>
  <si>
    <t>ФИНАНСОВАЯ ДЕЯТЕЛЬНОСТЬ</t>
  </si>
  <si>
    <t>ЭКОНОМИЧЕСКАЯ ОЦЕНКА</t>
  </si>
  <si>
    <t>(заполните условия привлечения средств)</t>
  </si>
  <si>
    <t>Частично заполните таблицы:</t>
  </si>
  <si>
    <t>Частично или полностью заполните таблицы:</t>
  </si>
  <si>
    <t>Частично заполните таблицу:</t>
  </si>
  <si>
    <t>Заполните цветные ячейки:</t>
  </si>
  <si>
    <t>1.</t>
  </si>
  <si>
    <t>2.</t>
  </si>
  <si>
    <t>3.</t>
  </si>
  <si>
    <t>Точка безубыточности (критический объем выручки)</t>
  </si>
  <si>
    <t>Запас финансовой прочности</t>
  </si>
  <si>
    <t>Запас финансовой прочности, в процентах</t>
  </si>
  <si>
    <t>Чистый денежный доход (NPV)</t>
  </si>
  <si>
    <t>Значение</t>
  </si>
  <si>
    <t>Валюта расчета</t>
  </si>
  <si>
    <t>(все таблицы заполняются в тыс. руб., если не указано иное)</t>
  </si>
  <si>
    <t>Критерий приемлемости</t>
  </si>
  <si>
    <t>&gt;0</t>
  </si>
  <si>
    <t>&gt;1</t>
  </si>
  <si>
    <t>&gt; ставки по кредиту</t>
  </si>
  <si>
    <t>мес</t>
  </si>
  <si>
    <t>&lt; срока проекта</t>
  </si>
  <si>
    <t>Дисконтированный денежный поток</t>
  </si>
  <si>
    <t>Накопленное сальдо</t>
  </si>
  <si>
    <t>Период окупаемости (от начала эксплуатации проекта)</t>
  </si>
  <si>
    <t>Не запоняйте таблицы (заполняются автоматически)</t>
  </si>
  <si>
    <t>Сценарий прогноза</t>
  </si>
  <si>
    <t>(в текущих ценах (ставите 1) или в прогнозных ценах (ставите 2)</t>
  </si>
  <si>
    <t>Индекс-дефлятор, принятый в расчетах</t>
  </si>
  <si>
    <t>4.</t>
  </si>
  <si>
    <t>5.</t>
  </si>
  <si>
    <t>6.</t>
  </si>
  <si>
    <t>7.</t>
  </si>
  <si>
    <t>8.</t>
  </si>
  <si>
    <t>Кэш-фло на конец периода не должно быть &lt;0</t>
  </si>
  <si>
    <t>Бухгалтер (аутсорсинг)</t>
  </si>
  <si>
    <t>Общехозяйственные и прочие непредвиденные (0,5% от выручки)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</si>
  <si>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</si>
  <si>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</si>
  <si>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</si>
  <si>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</si>
  <si>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</si>
  <si>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</si>
  <si>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</si>
  <si>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</si>
  <si>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</si>
  <si>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</si>
  <si>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</si>
  <si>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</si>
  <si>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</si>
  <si>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</si>
  <si>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Первая цифра номера таблицы означает номер раздела в бизнес-плане</t>
  </si>
  <si>
    <t>Бизнес-план организации производства замороженных полуфабрикатов в п. ХХХ ХХХ района Республики Саха (Якутия)</t>
  </si>
  <si>
    <t>Технолог-управляющий производством</t>
  </si>
  <si>
    <t>Специалист по производству продукции</t>
  </si>
  <si>
    <t>Водитель</t>
  </si>
  <si>
    <t>Котлетные изделия</t>
  </si>
  <si>
    <t>Мясо говядина, кг</t>
  </si>
  <si>
    <t>Мясо свинина, кг</t>
  </si>
  <si>
    <t>Хлеб, кг</t>
  </si>
  <si>
    <t>Перец/соль, кг</t>
  </si>
  <si>
    <t>Упаковка, шт</t>
  </si>
  <si>
    <t>Сырье, ед. изм.</t>
  </si>
  <si>
    <t>Расход на ед.</t>
  </si>
  <si>
    <t>Цена, руб./ед.</t>
  </si>
  <si>
    <t>Капуста / перец, кг</t>
  </si>
  <si>
    <t>Рис, кг</t>
  </si>
  <si>
    <t>Голубцы / перец фаршированный</t>
  </si>
  <si>
    <t>Пельменные изделия</t>
  </si>
  <si>
    <t>Лук репчатый, кг</t>
  </si>
  <si>
    <t>Мука высший cорт, кг</t>
  </si>
  <si>
    <t>Яичный порошок, кг</t>
  </si>
  <si>
    <t>Вареники в ассортименте</t>
  </si>
  <si>
    <t>Начинка (картофель, капуста, творог)</t>
  </si>
  <si>
    <t>Перец/соль, кг.</t>
  </si>
  <si>
    <t>Мука высший сорт, кг</t>
  </si>
  <si>
    <t>Блинчики с начинкой</t>
  </si>
  <si>
    <t>Молоко сухое цельное, кг</t>
  </si>
  <si>
    <t>Количество</t>
  </si>
  <si>
    <t>Пельменный автомат</t>
  </si>
  <si>
    <t>Шкаф холодильный</t>
  </si>
  <si>
    <t xml:space="preserve">Ларь морозильный </t>
  </si>
  <si>
    <t>Аппарат шоковой заморозки</t>
  </si>
  <si>
    <t>Блинная станция</t>
  </si>
  <si>
    <t>Мясорубка для закрутки мяса</t>
  </si>
  <si>
    <t>Распиловочный аппарат</t>
  </si>
  <si>
    <t>Раскаточный аппарат</t>
  </si>
  <si>
    <t>Тестомес</t>
  </si>
  <si>
    <t>Тестоформовочный аппарат (для кругляшков)</t>
  </si>
  <si>
    <t>Фаршемес</t>
  </si>
  <si>
    <t>Просеиватель муки</t>
  </si>
  <si>
    <t>Куттер для мяса и овощей</t>
  </si>
  <si>
    <t>Фасовочный аппарат</t>
  </si>
  <si>
    <t>Напольные весы</t>
  </si>
  <si>
    <t xml:space="preserve">Стол производственный </t>
  </si>
  <si>
    <t>Тележка производственная</t>
  </si>
  <si>
    <t>Поднос для тележки</t>
  </si>
  <si>
    <t>Посуда и прочий инвентарь</t>
  </si>
  <si>
    <t>Пельмени и пельменные изделия</t>
  </si>
  <si>
    <t xml:space="preserve">Вареники </t>
  </si>
  <si>
    <t>Блинчики фаршированные</t>
  </si>
  <si>
    <t>Суповой набор</t>
  </si>
  <si>
    <t>сутки</t>
  </si>
  <si>
    <t>Наименование</t>
  </si>
  <si>
    <t>Мощность, кВт в час</t>
  </si>
  <si>
    <t>Режим работы, час в сутки</t>
  </si>
  <si>
    <t>Коэффициент использования</t>
  </si>
  <si>
    <t>Расход в год, кВт*ч</t>
  </si>
  <si>
    <t xml:space="preserve">Тестоформовочный аппарат </t>
  </si>
  <si>
    <t>Силовая электроэнергия</t>
  </si>
  <si>
    <t>Осветительная электронергия</t>
  </si>
  <si>
    <t>0,17 кВт на кв. м</t>
  </si>
  <si>
    <t>Объем продаж в год, тн</t>
  </si>
  <si>
    <t>Расход воды в год, куб. м</t>
  </si>
  <si>
    <t>Тариф, руб. за куб. м</t>
  </si>
  <si>
    <t>Холодная вода</t>
  </si>
  <si>
    <t>Горячая вода</t>
  </si>
  <si>
    <t>Сток воды</t>
  </si>
  <si>
    <t>Норма расхода, куб. м на тн</t>
  </si>
  <si>
    <t>Коэффициент К1</t>
  </si>
  <si>
    <t>Автономное: электрические котлы</t>
  </si>
  <si>
    <t>кВт</t>
  </si>
  <si>
    <t>Транспорт (рефрижератор)</t>
  </si>
  <si>
    <t>Норма расхода, л на 100 км</t>
  </si>
  <si>
    <t>Автопробег в сутки, км</t>
  </si>
  <si>
    <t>Тариф, руб. на л</t>
  </si>
  <si>
    <t>23.</t>
  </si>
  <si>
    <t>3-1. Штатное расписание персонала проекта</t>
  </si>
  <si>
    <t>Тарифы на вывоз, руб. за куб. м</t>
  </si>
  <si>
    <r>
      <t xml:space="preserve"> </t>
    </r>
    <r>
      <rPr>
        <sz val="10"/>
        <rFont val="Times New Roman"/>
        <family val="1"/>
      </rPr>
      <t>Продукция</t>
    </r>
  </si>
  <si>
    <t>Полуфабрикаты</t>
  </si>
  <si>
    <t>Объем сбыта, кг</t>
  </si>
  <si>
    <t>Объем производства, кг</t>
  </si>
  <si>
    <t>Расходы на сбор и вывоз отходов</t>
  </si>
  <si>
    <t>Расчет расходов на тепловую энергию</t>
  </si>
  <si>
    <t>Расход ГСМ в год (усреднено), км</t>
  </si>
  <si>
    <t>Расходы на ГСМ</t>
  </si>
  <si>
    <t>4-2. Перечень оборудования проекта</t>
  </si>
  <si>
    <t>4-4. Эффективный фонд рабочего времени</t>
  </si>
  <si>
    <t xml:space="preserve">4-5. Производственно-сбытовой план </t>
  </si>
  <si>
    <t>4-6. Плановые темпы роста объемов производства</t>
  </si>
  <si>
    <t>4-7. Расчет материальных расходов</t>
  </si>
  <si>
    <t xml:space="preserve">4-8. Расчет расходов на фонд оплаты труда </t>
  </si>
  <si>
    <t>4-9. Расчет расходов на потребляемую электроэнергию</t>
  </si>
  <si>
    <t>4-10. Расчет расходов на воду и сточные воды</t>
  </si>
  <si>
    <t>4-11. Расчет расходов на сбор и вывоз отходов</t>
  </si>
  <si>
    <t>Норма накопления отходов (1%), кг в год</t>
  </si>
  <si>
    <t>Объем отходов, куб. м</t>
  </si>
  <si>
    <t>4-12. Расчет расходов на аренду</t>
  </si>
  <si>
    <t>Таблица 4-13. Расчет расходов на ГСМ</t>
  </si>
  <si>
    <t>4-14. Расчет амортизационных отчислений</t>
  </si>
  <si>
    <t>4-15. Расчет прочих расходов</t>
  </si>
  <si>
    <t>4-16. Структура себестоимости</t>
  </si>
  <si>
    <t>Годовая сумма налоговых отчислений</t>
  </si>
  <si>
    <t>5-1. Источники финансирования проекта</t>
  </si>
  <si>
    <t>5-2. Инвестиции в проект</t>
  </si>
  <si>
    <t>5-3. График гашения и обслуживания долговых обязательств</t>
  </si>
  <si>
    <t>5-4. Расчет точки безубыточности</t>
  </si>
  <si>
    <t>5-5. Расчет показателей эффективности проекта</t>
  </si>
  <si>
    <t>24.</t>
  </si>
  <si>
    <t>Всего 24 таблицы, находящиеся на данном листе</t>
  </si>
  <si>
    <t>Ресурс</t>
  </si>
  <si>
    <t>прибыль</t>
  </si>
  <si>
    <t>рент.</t>
  </si>
  <si>
    <t xml:space="preserve">Расходы в год, тыс. руб.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</si>
</sst>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[Red]\-#,##0\ "/>
    <numFmt numFmtId="174" formatCode="#,##0.0_ ;[Red]\-#,##0.0\ "/>
    <numFmt numFmtId="175" formatCode="0.0000"/>
    <numFmt numFmtId="176" formatCode="#,##0.00_ ;[Red]\-#,##0.00\ "/>
    <numFmt numFmtId="177" formatCode="#,##0.0"/>
    <numFmt numFmtId="178" formatCode="#,##0.000"/>
    <numFmt numFmtId="179" formatCode="#,##0.000_ ;[Red]\-#,##0.000\ "/>
    <numFmt numFmtId="180" formatCode="0.000"/>
    <numFmt numFmtId="181" formatCode="_-* #,##0.0_р_._-;\-* #,##0.0_р_._-;_-* &quot;-&quot;??_р_._-;_-@_-"/>
    <numFmt numFmtId="182" formatCode="_-* #,##0_р_._-;\-* #,##0_р_._-;_-* &quot;-&quot;??_р_._-;_-@_-"/>
    <numFmt numFmtId="183" formatCode="#,##0.00000"/>
    <numFmt numFmtId="184" formatCode="_-* #,##0.000_р_._-;\-* #,##0.000_р_._-;_-* &quot;-&quot;??_р_._-;_-@_-"/>
    <numFmt numFmtId="185" formatCode="_-* #,##0.000\ _р_._-;\-* #,##0.000\ _р_._-;_-* &quot;-&quot;???\ _р_._-;_-@_-"/>
    <numFmt numFmtId="186" formatCode="#\ ##0.0_ ;[Red]\-#\ 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_р_._-;\-* #,##0.000_р_._-;_-* &quot;-&quot;???_р_._-;_-@_-"/>
    <numFmt numFmtId="192" formatCode="_-* #,##0.0_р_._-;\-* #,##0.0_р_._-;_-* &quot;-&quot;?_р_._-;_-@_-"/>
    <numFmt numFmtId="193" formatCode="0.0%"/>
    <numFmt numFmtId="194" formatCode="0.0000%"/>
    <numFmt numFmtId="195" formatCode="_-* #,##0.0\ _₽_-;\-* #,##0.0\ _₽_-;_-* &quot;-&quot;?\ _₽_-;_-@_-"/>
    <numFmt numFmtId="196" formatCode="#,##0.0000_ ;[Red]\-#,##0.0000\ "/>
    <numFmt numFmtId="197" formatCode="#,##0.00000_ ;[Red]\-#,##0.00000\ "/>
    <numFmt numFmtId="198" formatCode="0.00000000"/>
    <numFmt numFmtId="199" formatCode="0.0000000"/>
    <numFmt numFmtId="200" formatCode="0.000000"/>
    <numFmt numFmtId="201" formatCode="0.00000"/>
    <numFmt numFmtId="202" formatCode="0.000000000"/>
    <numFmt numFmtId="203" formatCode="_-* #,##0.000\ _₽_-;\-* #,##0.000\ _₽_-;_-* &quot;-&quot;???\ _₽_-;_-@_-"/>
    <numFmt numFmtId="204" formatCode="#,##0.0000"/>
    <numFmt numFmtId="205" formatCode="#,##0;[Red]\(#,##0\);\-"/>
  </numFmts>
  <fonts count="105">
    <font>
      <sz val="10"/>
      <name val="MS Sans Serif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6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MS Sans Serif"/>
      <family val="2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5" tint="-0.4999699890613556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MS Sans Serif"/>
      <family val="2"/>
    </font>
    <font>
      <sz val="11"/>
      <color theme="0"/>
      <name val="Times New Roman"/>
      <family val="1"/>
    </font>
    <font>
      <i/>
      <sz val="11"/>
      <color rgb="FF000000"/>
      <name val="Times New Roman"/>
      <family val="1"/>
    </font>
    <font>
      <sz val="10"/>
      <color rgb="FFFF0000"/>
      <name val="Arial"/>
      <family val="2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Arial"/>
      <family val="2"/>
    </font>
    <font>
      <sz val="11"/>
      <color theme="1"/>
      <name val="Times New Roman"/>
      <family val="1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F932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205" fontId="65" fillId="19" borderId="0" applyNumberFormat="0" applyBorder="0" applyAlignment="0">
      <protection locked="0"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0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Border="1" applyAlignment="1">
      <alignment vertical="top" wrapText="1"/>
    </xf>
    <xf numFmtId="3" fontId="1" fillId="0" borderId="10" xfId="56" applyNumberFormat="1" applyFont="1" applyBorder="1" applyAlignment="1">
      <alignment vertical="top" wrapText="1"/>
      <protection/>
    </xf>
    <xf numFmtId="3" fontId="1" fillId="0" borderId="10" xfId="56" applyNumberFormat="1" applyFont="1" applyFill="1" applyBorder="1" applyAlignment="1">
      <alignment vertical="top" wrapText="1"/>
      <protection/>
    </xf>
    <xf numFmtId="3" fontId="5" fillId="0" borderId="0" xfId="56" applyNumberFormat="1" applyFont="1" applyAlignment="1">
      <alignment vertical="top" wrapText="1"/>
      <protection/>
    </xf>
    <xf numFmtId="3" fontId="5" fillId="0" borderId="0" xfId="56" applyNumberFormat="1" applyFont="1" applyAlignment="1">
      <alignment vertical="top" wrapText="1"/>
      <protection/>
    </xf>
    <xf numFmtId="3" fontId="1" fillId="0" borderId="10" xfId="56" applyNumberFormat="1" applyFont="1" applyBorder="1" applyAlignment="1">
      <alignment vertical="top" wrapText="1"/>
      <protection/>
    </xf>
    <xf numFmtId="171" fontId="0" fillId="0" borderId="0" xfId="65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3" fontId="1" fillId="0" borderId="10" xfId="56" applyNumberFormat="1" applyFont="1" applyFill="1" applyBorder="1" applyAlignment="1">
      <alignment vertical="top" wrapText="1"/>
      <protection/>
    </xf>
    <xf numFmtId="3" fontId="1" fillId="0" borderId="0" xfId="56" applyNumberFormat="1" applyFont="1">
      <alignment/>
      <protection/>
    </xf>
    <xf numFmtId="3" fontId="1" fillId="0" borderId="0" xfId="56" applyNumberFormat="1" applyFont="1" applyAlignment="1">
      <alignment vertical="top" wrapText="1"/>
      <protection/>
    </xf>
    <xf numFmtId="172" fontId="1" fillId="0" borderId="0" xfId="0" applyNumberFormat="1" applyFont="1" applyAlignment="1">
      <alignment/>
    </xf>
    <xf numFmtId="3" fontId="9" fillId="0" borderId="10" xfId="56" applyNumberFormat="1" applyFont="1" applyFill="1" applyBorder="1" applyAlignment="1">
      <alignment vertical="top" wrapText="1"/>
      <protection/>
    </xf>
    <xf numFmtId="3" fontId="12" fillId="0" borderId="0" xfId="56" applyNumberFormat="1" applyFont="1" applyAlignment="1">
      <alignment vertical="top" wrapText="1"/>
      <protection/>
    </xf>
    <xf numFmtId="173" fontId="1" fillId="0" borderId="10" xfId="0" applyNumberFormat="1" applyFont="1" applyBorder="1" applyAlignment="1">
      <alignment vertical="top"/>
    </xf>
    <xf numFmtId="173" fontId="1" fillId="0" borderId="10" xfId="0" applyNumberFormat="1" applyFont="1" applyFill="1" applyBorder="1" applyAlignment="1">
      <alignment vertical="top" wrapText="1"/>
    </xf>
    <xf numFmtId="3" fontId="7" fillId="0" borderId="0" xfId="56" applyNumberFormat="1" applyFont="1">
      <alignment/>
      <protection/>
    </xf>
    <xf numFmtId="3" fontId="7" fillId="0" borderId="0" xfId="56" applyNumberFormat="1" applyFont="1" applyAlignment="1">
      <alignment wrapText="1"/>
      <protection/>
    </xf>
    <xf numFmtId="3" fontId="1" fillId="0" borderId="10" xfId="56" applyNumberFormat="1" applyFont="1" applyBorder="1" applyAlignment="1">
      <alignment horizontal="center"/>
      <protection/>
    </xf>
    <xf numFmtId="3" fontId="1" fillId="0" borderId="10" xfId="0" applyNumberFormat="1" applyFont="1" applyBorder="1" applyAlignment="1">
      <alignment horizontal="center" vertical="top"/>
    </xf>
    <xf numFmtId="3" fontId="5" fillId="0" borderId="0" xfId="56" applyNumberFormat="1" applyFont="1">
      <alignment/>
      <protection/>
    </xf>
    <xf numFmtId="3" fontId="5" fillId="0" borderId="0" xfId="56" applyNumberFormat="1" applyFont="1">
      <alignment/>
      <protection/>
    </xf>
    <xf numFmtId="3" fontId="1" fillId="0" borderId="10" xfId="0" applyNumberFormat="1" applyFont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3" fontId="5" fillId="0" borderId="0" xfId="56" applyNumberFormat="1" applyFont="1" applyFill="1" applyAlignment="1">
      <alignment vertical="top" wrapText="1"/>
      <protection/>
    </xf>
    <xf numFmtId="3" fontId="1" fillId="0" borderId="0" xfId="56" applyNumberFormat="1" applyFont="1" applyAlignment="1">
      <alignment wrapText="1"/>
      <protection/>
    </xf>
    <xf numFmtId="3" fontId="15" fillId="0" borderId="0" xfId="56" applyNumberFormat="1" applyFont="1" applyFill="1" applyAlignment="1">
      <alignment vertical="top" wrapText="1"/>
      <protection/>
    </xf>
    <xf numFmtId="3" fontId="81" fillId="0" borderId="0" xfId="56" applyNumberFormat="1" applyFont="1">
      <alignment/>
      <protection/>
    </xf>
    <xf numFmtId="3" fontId="82" fillId="0" borderId="0" xfId="56" applyNumberFormat="1" applyFont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3" fillId="33" borderId="0" xfId="0" applyNumberFormat="1" applyFont="1" applyFill="1" applyBorder="1" applyAlignment="1" applyProtection="1">
      <alignment vertical="top"/>
      <protection/>
    </xf>
    <xf numFmtId="0" fontId="83" fillId="34" borderId="0" xfId="0" applyNumberFormat="1" applyFont="1" applyFill="1" applyBorder="1" applyAlignment="1" applyProtection="1">
      <alignment vertical="top"/>
      <protection/>
    </xf>
    <xf numFmtId="0" fontId="11" fillId="35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1" fillId="36" borderId="0" xfId="0" applyNumberFormat="1" applyFont="1" applyFill="1" applyBorder="1" applyAlignment="1" applyProtection="1">
      <alignment vertical="top"/>
      <protection/>
    </xf>
    <xf numFmtId="0" fontId="18" fillId="36" borderId="0" xfId="0" applyNumberFormat="1" applyFont="1" applyFill="1" applyBorder="1" applyAlignment="1" applyProtection="1">
      <alignment vertical="top"/>
      <protection/>
    </xf>
    <xf numFmtId="0" fontId="16" fillId="36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1" fillId="34" borderId="0" xfId="0" applyNumberFormat="1" applyFont="1" applyFill="1" applyBorder="1" applyAlignment="1" applyProtection="1">
      <alignment vertical="top"/>
      <protection/>
    </xf>
    <xf numFmtId="0" fontId="84" fillId="36" borderId="0" xfId="0" applyNumberFormat="1" applyFont="1" applyFill="1" applyBorder="1" applyAlignment="1" applyProtection="1">
      <alignment vertical="top"/>
      <protection/>
    </xf>
    <xf numFmtId="0" fontId="85" fillId="36" borderId="0" xfId="0" applyNumberFormat="1" applyFont="1" applyFill="1" applyBorder="1" applyAlignment="1" applyProtection="1">
      <alignment vertical="top"/>
      <protection/>
    </xf>
    <xf numFmtId="0" fontId="19" fillId="36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3" fontId="86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" fillId="35" borderId="11" xfId="0" applyNumberFormat="1" applyFont="1" applyFill="1" applyBorder="1" applyAlignment="1" applyProtection="1">
      <alignment horizontal="right" vertical="center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1" xfId="0" applyNumberFormat="1" applyFont="1" applyFill="1" applyBorder="1" applyAlignment="1" applyProtection="1">
      <alignment horizontal="center" vertical="center" textRotation="90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right" vertical="center" wrapText="1"/>
      <protection/>
    </xf>
    <xf numFmtId="0" fontId="87" fillId="0" borderId="10" xfId="0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NumberFormat="1" applyFont="1" applyFill="1" applyBorder="1" applyAlignment="1" applyProtection="1">
      <alignment vertical="center" wrapText="1"/>
      <protection/>
    </xf>
    <xf numFmtId="0" fontId="87" fillId="0" borderId="10" xfId="0" applyNumberFormat="1" applyFont="1" applyFill="1" applyBorder="1" applyAlignment="1" applyProtection="1">
      <alignment horizontal="justify" vertical="center" wrapText="1"/>
      <protection/>
    </xf>
    <xf numFmtId="0" fontId="87" fillId="0" borderId="0" xfId="0" applyNumberFormat="1" applyFont="1" applyFill="1" applyBorder="1" applyAlignment="1" applyProtection="1">
      <alignment horizontal="right" vertical="center" wrapText="1"/>
      <protection/>
    </xf>
    <xf numFmtId="43" fontId="11" fillId="0" borderId="0" xfId="0" applyNumberFormat="1" applyFont="1" applyFill="1" applyBorder="1" applyAlignment="1" applyProtection="1">
      <alignment vertical="top"/>
      <protection/>
    </xf>
    <xf numFmtId="172" fontId="87" fillId="0" borderId="0" xfId="0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NumberFormat="1" applyFont="1" applyFill="1" applyBorder="1" applyAlignment="1" applyProtection="1">
      <alignment horizontal="right" vertical="center" wrapText="1"/>
      <protection/>
    </xf>
    <xf numFmtId="0" fontId="88" fillId="0" borderId="10" xfId="0" applyNumberFormat="1" applyFont="1" applyFill="1" applyBorder="1" applyAlignment="1" applyProtection="1">
      <alignment horizontal="left" vertical="center" wrapText="1"/>
      <protection/>
    </xf>
    <xf numFmtId="3" fontId="21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87" fillId="0" borderId="10" xfId="0" applyNumberFormat="1" applyFont="1" applyFill="1" applyBorder="1" applyAlignment="1" applyProtection="1">
      <alignment vertical="top"/>
      <protection/>
    </xf>
    <xf numFmtId="0" fontId="89" fillId="0" borderId="10" xfId="0" applyNumberFormat="1" applyFont="1" applyFill="1" applyBorder="1" applyAlignment="1" applyProtection="1">
      <alignment vertical="center" wrapText="1"/>
      <protection/>
    </xf>
    <xf numFmtId="3" fontId="89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1" fontId="5" fillId="0" borderId="0" xfId="56" applyNumberFormat="1" applyFont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0" fillId="33" borderId="0" xfId="0" applyNumberFormat="1" applyFont="1" applyFill="1" applyBorder="1" applyAlignment="1" applyProtection="1">
      <alignment vertical="top"/>
      <protection/>
    </xf>
    <xf numFmtId="0" fontId="83" fillId="34" borderId="12" xfId="0" applyNumberFormat="1" applyFont="1" applyFill="1" applyBorder="1" applyAlignment="1" applyProtection="1">
      <alignment vertical="top"/>
      <protection/>
    </xf>
    <xf numFmtId="0" fontId="83" fillId="34" borderId="13" xfId="0" applyNumberFormat="1" applyFont="1" applyFill="1" applyBorder="1" applyAlignment="1" applyProtection="1">
      <alignment vertical="top"/>
      <protection/>
    </xf>
    <xf numFmtId="0" fontId="11" fillId="34" borderId="14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vertical="top"/>
      <protection/>
    </xf>
    <xf numFmtId="0" fontId="11" fillId="0" borderId="16" xfId="0" applyNumberFormat="1" applyFont="1" applyFill="1" applyBorder="1" applyAlignment="1" applyProtection="1">
      <alignment vertical="top"/>
      <protection/>
    </xf>
    <xf numFmtId="0" fontId="16" fillId="0" borderId="15" xfId="0" applyNumberFormat="1" applyFont="1" applyFill="1" applyBorder="1" applyAlignment="1" applyProtection="1">
      <alignment vertical="top"/>
      <protection/>
    </xf>
    <xf numFmtId="0" fontId="16" fillId="0" borderId="16" xfId="0" applyNumberFormat="1" applyFont="1" applyFill="1" applyBorder="1" applyAlignment="1" applyProtection="1">
      <alignment vertical="top"/>
      <protection/>
    </xf>
    <xf numFmtId="0" fontId="16" fillId="0" borderId="17" xfId="0" applyNumberFormat="1" applyFont="1" applyFill="1" applyBorder="1" applyAlignment="1" applyProtection="1">
      <alignment vertical="top"/>
      <protection/>
    </xf>
    <xf numFmtId="0" fontId="11" fillId="0" borderId="18" xfId="0" applyNumberFormat="1" applyFont="1" applyFill="1" applyBorder="1" applyAlignment="1" applyProtection="1">
      <alignment vertical="top"/>
      <protection/>
    </xf>
    <xf numFmtId="0" fontId="11" fillId="0" borderId="19" xfId="0" applyNumberFormat="1" applyFont="1" applyFill="1" applyBorder="1" applyAlignment="1" applyProtection="1">
      <alignment vertical="top"/>
      <protection/>
    </xf>
    <xf numFmtId="0" fontId="91" fillId="0" borderId="0" xfId="0" applyNumberFormat="1" applyFont="1" applyFill="1" applyBorder="1" applyAlignment="1" applyProtection="1">
      <alignment vertical="top"/>
      <protection/>
    </xf>
    <xf numFmtId="0" fontId="92" fillId="37" borderId="0" xfId="0" applyNumberFormat="1" applyFont="1" applyFill="1" applyBorder="1" applyAlignment="1" applyProtection="1">
      <alignment vertical="top"/>
      <protection/>
    </xf>
    <xf numFmtId="0" fontId="22" fillId="37" borderId="0" xfId="0" applyNumberFormat="1" applyFont="1" applyFill="1" applyBorder="1" applyAlignment="1" applyProtection="1">
      <alignment vertical="top"/>
      <protection/>
    </xf>
    <xf numFmtId="0" fontId="84" fillId="38" borderId="0" xfId="0" applyNumberFormat="1" applyFont="1" applyFill="1" applyBorder="1" applyAlignment="1" applyProtection="1">
      <alignment vertical="top"/>
      <protection/>
    </xf>
    <xf numFmtId="0" fontId="93" fillId="38" borderId="0" xfId="0" applyFont="1" applyFill="1" applyAlignment="1">
      <alignment/>
    </xf>
    <xf numFmtId="0" fontId="93" fillId="38" borderId="0" xfId="0" applyFont="1" applyFill="1" applyAlignment="1">
      <alignment horizontal="right"/>
    </xf>
    <xf numFmtId="0" fontId="94" fillId="38" borderId="0" xfId="0" applyFont="1" applyFill="1" applyAlignment="1">
      <alignment/>
    </xf>
    <xf numFmtId="0" fontId="83" fillId="0" borderId="12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9" fontId="1" fillId="0" borderId="10" xfId="0" applyNumberFormat="1" applyFont="1" applyFill="1" applyBorder="1" applyAlignment="1" applyProtection="1">
      <alignment horizontal="center" vertical="top"/>
      <protection/>
    </xf>
    <xf numFmtId="9" fontId="1" fillId="0" borderId="10" xfId="0" applyNumberFormat="1" applyFont="1" applyBorder="1" applyAlignment="1">
      <alignment horizontal="center" vertical="top"/>
    </xf>
    <xf numFmtId="0" fontId="86" fillId="0" borderId="10" xfId="0" applyFont="1" applyBorder="1" applyAlignment="1">
      <alignment horizontal="center" vertical="top"/>
    </xf>
    <xf numFmtId="9" fontId="86" fillId="0" borderId="10" xfId="0" applyNumberFormat="1" applyFont="1" applyBorder="1" applyAlignment="1">
      <alignment horizontal="center" vertical="top"/>
    </xf>
    <xf numFmtId="0" fontId="95" fillId="0" borderId="0" xfId="0" applyFont="1" applyAlignment="1">
      <alignment vertical="top"/>
    </xf>
    <xf numFmtId="0" fontId="1" fillId="0" borderId="20" xfId="0" applyFont="1" applyBorder="1" applyAlignment="1">
      <alignment horizontal="center" vertical="top"/>
    </xf>
    <xf numFmtId="9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right" vertical="top" wrapText="1"/>
    </xf>
    <xf numFmtId="0" fontId="87" fillId="0" borderId="21" xfId="0" applyNumberFormat="1" applyFont="1" applyFill="1" applyBorder="1" applyAlignment="1" applyProtection="1">
      <alignment vertical="top"/>
      <protection/>
    </xf>
    <xf numFmtId="0" fontId="11" fillId="0" borderId="21" xfId="0" applyNumberFormat="1" applyFont="1" applyFill="1" applyBorder="1" applyAlignment="1" applyProtection="1">
      <alignment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" fontId="1" fillId="39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Border="1" applyAlignment="1">
      <alignment vertical="top"/>
    </xf>
    <xf numFmtId="176" fontId="1" fillId="0" borderId="0" xfId="0" applyNumberFormat="1" applyFont="1" applyBorder="1" applyAlignment="1">
      <alignment vertical="top"/>
    </xf>
    <xf numFmtId="0" fontId="96" fillId="34" borderId="10" xfId="0" applyFont="1" applyFill="1" applyBorder="1" applyAlignment="1">
      <alignment vertical="top" wrapText="1"/>
    </xf>
    <xf numFmtId="173" fontId="96" fillId="34" borderId="10" xfId="0" applyNumberFormat="1" applyFont="1" applyFill="1" applyBorder="1" applyAlignment="1">
      <alignment vertical="top" wrapText="1"/>
    </xf>
    <xf numFmtId="0" fontId="23" fillId="40" borderId="0" xfId="0" applyFont="1" applyFill="1" applyAlignment="1">
      <alignment vertical="top" wrapText="1"/>
    </xf>
    <xf numFmtId="3" fontId="94" fillId="34" borderId="10" xfId="56" applyNumberFormat="1" applyFont="1" applyFill="1" applyBorder="1" applyAlignment="1">
      <alignment vertical="top"/>
      <protection/>
    </xf>
    <xf numFmtId="3" fontId="8" fillId="0" borderId="22" xfId="56" applyNumberFormat="1" applyFont="1" applyFill="1" applyBorder="1" applyAlignment="1">
      <alignment vertical="top" wrapText="1"/>
      <protection/>
    </xf>
    <xf numFmtId="0" fontId="97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1" fillId="36" borderId="0" xfId="0" applyNumberFormat="1" applyFont="1" applyFill="1" applyBorder="1" applyAlignment="1" applyProtection="1">
      <alignment horizontal="center" vertical="top"/>
      <protection/>
    </xf>
    <xf numFmtId="0" fontId="18" fillId="36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1" fillId="34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83" fillId="34" borderId="0" xfId="0" applyNumberFormat="1" applyFont="1" applyFill="1" applyBorder="1" applyAlignment="1" applyProtection="1">
      <alignment horizontal="center" vertical="top"/>
      <protection/>
    </xf>
    <xf numFmtId="0" fontId="83" fillId="33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3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vertical="center" wrapText="1"/>
      <protection/>
    </xf>
    <xf numFmtId="0" fontId="98" fillId="0" borderId="0" xfId="0" applyNumberFormat="1" applyFont="1" applyFill="1" applyBorder="1" applyAlignment="1" applyProtection="1">
      <alignment horizontal="center" vertical="top"/>
      <protection/>
    </xf>
    <xf numFmtId="0" fontId="98" fillId="0" borderId="0" xfId="0" applyNumberFormat="1" applyFont="1" applyFill="1" applyBorder="1" applyAlignment="1" applyProtection="1">
      <alignment vertical="top"/>
      <protection/>
    </xf>
    <xf numFmtId="2" fontId="98" fillId="0" borderId="0" xfId="0" applyNumberFormat="1" applyFon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2" fontId="11" fillId="41" borderId="10" xfId="0" applyNumberFormat="1" applyFont="1" applyFill="1" applyBorder="1" applyAlignment="1" applyProtection="1">
      <alignment horizontal="center" vertical="top"/>
      <protection/>
    </xf>
    <xf numFmtId="1" fontId="5" fillId="0" borderId="0" xfId="56" applyNumberFormat="1" applyFont="1" applyAlignment="1">
      <alignment horizontal="center"/>
      <protection/>
    </xf>
    <xf numFmtId="3" fontId="99" fillId="0" borderId="0" xfId="56" applyNumberFormat="1" applyFont="1" applyAlignment="1">
      <alignment wrapText="1"/>
      <protection/>
    </xf>
    <xf numFmtId="3" fontId="100" fillId="0" borderId="10" xfId="56" applyNumberFormat="1" applyFont="1" applyBorder="1" applyAlignment="1">
      <alignment wrapText="1"/>
      <protection/>
    </xf>
    <xf numFmtId="3" fontId="101" fillId="0" borderId="0" xfId="56" applyNumberFormat="1" applyFont="1" applyAlignment="1">
      <alignment horizontal="center"/>
      <protection/>
    </xf>
    <xf numFmtId="0" fontId="86" fillId="0" borderId="0" xfId="0" applyFont="1" applyFill="1" applyAlignment="1">
      <alignment vertical="top"/>
    </xf>
    <xf numFmtId="0" fontId="95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02" fillId="0" borderId="0" xfId="0" applyNumberFormat="1" applyFont="1" applyFill="1" applyBorder="1" applyAlignment="1" applyProtection="1">
      <alignment vertical="top"/>
      <protection/>
    </xf>
    <xf numFmtId="0" fontId="86" fillId="0" borderId="0" xfId="0" applyFont="1" applyFill="1" applyAlignment="1">
      <alignment/>
    </xf>
    <xf numFmtId="3" fontId="86" fillId="0" borderId="0" xfId="0" applyNumberFormat="1" applyFont="1" applyFill="1" applyAlignment="1">
      <alignment vertical="top" wrapText="1"/>
    </xf>
    <xf numFmtId="3" fontId="86" fillId="0" borderId="0" xfId="0" applyNumberFormat="1" applyFont="1" applyFill="1" applyAlignment="1">
      <alignment vertical="top"/>
    </xf>
    <xf numFmtId="0" fontId="86" fillId="0" borderId="0" xfId="0" applyFont="1" applyFill="1" applyAlignment="1">
      <alignment vertical="top" wrapText="1"/>
    </xf>
    <xf numFmtId="0" fontId="103" fillId="0" borderId="0" xfId="0" applyFont="1" applyFill="1" applyAlignment="1">
      <alignment vertical="top" wrapText="1"/>
    </xf>
    <xf numFmtId="3" fontId="103" fillId="0" borderId="0" xfId="0" applyNumberFormat="1" applyFont="1" applyFill="1" applyAlignment="1">
      <alignment vertical="top" wrapText="1"/>
    </xf>
    <xf numFmtId="3" fontId="103" fillId="0" borderId="0" xfId="0" applyNumberFormat="1" applyFont="1" applyFill="1" applyAlignment="1">
      <alignment vertical="top"/>
    </xf>
    <xf numFmtId="0" fontId="87" fillId="0" borderId="10" xfId="0" applyNumberFormat="1" applyFont="1" applyFill="1" applyBorder="1" applyAlignment="1" applyProtection="1">
      <alignment horizontal="right" vertical="center" wrapText="1"/>
      <protection/>
    </xf>
    <xf numFmtId="0" fontId="8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3" fontId="86" fillId="0" borderId="24" xfId="0" applyNumberFormat="1" applyFont="1" applyFill="1" applyBorder="1" applyAlignment="1" applyProtection="1">
      <alignment horizontal="right" vertical="center" wrapText="1"/>
      <protection/>
    </xf>
    <xf numFmtId="0" fontId="1" fillId="35" borderId="25" xfId="0" applyNumberFormat="1" applyFont="1" applyFill="1" applyBorder="1" applyAlignment="1" applyProtection="1">
      <alignment vertical="center" wrapText="1"/>
      <protection/>
    </xf>
    <xf numFmtId="0" fontId="1" fillId="35" borderId="25" xfId="0" applyNumberFormat="1" applyFont="1" applyFill="1" applyBorder="1" applyAlignment="1" applyProtection="1">
      <alignment horizontal="right" vertical="center" wrapText="1"/>
      <protection/>
    </xf>
    <xf numFmtId="0" fontId="88" fillId="0" borderId="10" xfId="0" applyNumberFormat="1" applyFont="1" applyFill="1" applyBorder="1" applyAlignment="1" applyProtection="1">
      <alignment horizontal="justify" vertical="center" wrapText="1"/>
      <protection/>
    </xf>
    <xf numFmtId="3" fontId="88" fillId="0" borderId="10" xfId="0" applyNumberFormat="1" applyFont="1" applyFill="1" applyBorder="1" applyAlignment="1" applyProtection="1">
      <alignment horizontal="right" vertical="center" wrapText="1"/>
      <protection/>
    </xf>
    <xf numFmtId="0" fontId="86" fillId="0" borderId="11" xfId="0" applyNumberFormat="1" applyFont="1" applyFill="1" applyBorder="1" applyAlignment="1" applyProtection="1">
      <alignment horizontal="right" vertical="center" wrapText="1"/>
      <protection/>
    </xf>
    <xf numFmtId="0" fontId="86" fillId="0" borderId="2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justify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88" fillId="35" borderId="10" xfId="0" applyNumberFormat="1" applyFont="1" applyFill="1" applyBorder="1" applyAlignment="1" applyProtection="1">
      <alignment horizontal="right" vertical="center" wrapText="1"/>
      <protection/>
    </xf>
    <xf numFmtId="177" fontId="88" fillId="35" borderId="10" xfId="0" applyNumberFormat="1" applyFont="1" applyFill="1" applyBorder="1" applyAlignment="1" applyProtection="1">
      <alignment horizontal="right" vertical="center" wrapText="1"/>
      <protection/>
    </xf>
    <xf numFmtId="177" fontId="1" fillId="35" borderId="10" xfId="0" applyNumberFormat="1" applyFont="1" applyFill="1" applyBorder="1" applyAlignment="1" applyProtection="1">
      <alignment horizontal="right" vertical="center"/>
      <protection/>
    </xf>
    <xf numFmtId="177" fontId="88" fillId="35" borderId="10" xfId="0" applyNumberFormat="1" applyFont="1" applyFill="1" applyBorder="1" applyAlignment="1" applyProtection="1">
      <alignment vertical="center" wrapText="1"/>
      <protection/>
    </xf>
    <xf numFmtId="177" fontId="1" fillId="35" borderId="10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35" borderId="26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177" fontId="86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35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35" borderId="10" xfId="0" applyNumberFormat="1" applyFont="1" applyFill="1" applyBorder="1" applyAlignment="1" applyProtection="1">
      <alignment horizontal="right" vertical="center" wrapText="1"/>
      <protection/>
    </xf>
    <xf numFmtId="2" fontId="1" fillId="35" borderId="10" xfId="0" applyNumberFormat="1" applyFont="1" applyFill="1" applyBorder="1" applyAlignment="1" applyProtection="1">
      <alignment horizontal="right" vertical="center" wrapText="1"/>
      <protection/>
    </xf>
    <xf numFmtId="0" fontId="1" fillId="35" borderId="10" xfId="0" applyNumberFormat="1" applyFont="1" applyFill="1" applyBorder="1" applyAlignment="1" applyProtection="1">
      <alignment horizontal="right" vertical="center" wrapText="1"/>
      <protection/>
    </xf>
    <xf numFmtId="3" fontId="1" fillId="35" borderId="10" xfId="0" applyNumberFormat="1" applyFont="1" applyFill="1" applyBorder="1" applyAlignment="1" applyProtection="1">
      <alignment vertical="center" wrapText="1"/>
      <protection/>
    </xf>
    <xf numFmtId="1" fontId="1" fillId="35" borderId="10" xfId="0" applyNumberFormat="1" applyFont="1" applyFill="1" applyBorder="1" applyAlignment="1" applyProtection="1">
      <alignment vertical="center" wrapText="1"/>
      <protection/>
    </xf>
    <xf numFmtId="3" fontId="88" fillId="35" borderId="10" xfId="0" applyNumberFormat="1" applyFont="1" applyFill="1" applyBorder="1" applyAlignment="1" applyProtection="1">
      <alignment horizontal="right" vertical="center" wrapText="1"/>
      <protection/>
    </xf>
    <xf numFmtId="0" fontId="88" fillId="0" borderId="10" xfId="0" applyNumberFormat="1" applyFont="1" applyFill="1" applyBorder="1" applyAlignment="1" applyProtection="1">
      <alignment horizontal="right" vertical="top" wrapText="1"/>
      <protection/>
    </xf>
    <xf numFmtId="3" fontId="88" fillId="35" borderId="10" xfId="0" applyNumberFormat="1" applyFont="1" applyFill="1" applyBorder="1" applyAlignment="1" applyProtection="1">
      <alignment horizontal="right" vertical="top" wrapText="1"/>
      <protection/>
    </xf>
    <xf numFmtId="4" fontId="88" fillId="35" borderId="10" xfId="0" applyNumberFormat="1" applyFont="1" applyFill="1" applyBorder="1" applyAlignment="1" applyProtection="1">
      <alignment horizontal="right" vertical="top" wrapText="1"/>
      <protection/>
    </xf>
    <xf numFmtId="3" fontId="1" fillId="35" borderId="10" xfId="0" applyNumberFormat="1" applyFont="1" applyFill="1" applyBorder="1" applyAlignment="1" applyProtection="1">
      <alignment horizontal="right" vertical="top"/>
      <protection/>
    </xf>
    <xf numFmtId="3" fontId="1" fillId="35" borderId="10" xfId="0" applyNumberFormat="1" applyFont="1" applyFill="1" applyBorder="1" applyAlignment="1" applyProtection="1">
      <alignment vertical="top"/>
      <protection/>
    </xf>
    <xf numFmtId="0" fontId="87" fillId="0" borderId="10" xfId="0" applyNumberFormat="1" applyFont="1" applyFill="1" applyBorder="1" applyAlignment="1" applyProtection="1">
      <alignment horizontal="right" vertical="top" wrapText="1"/>
      <protection/>
    </xf>
    <xf numFmtId="1" fontId="88" fillId="0" borderId="10" xfId="0" applyNumberFormat="1" applyFont="1" applyFill="1" applyBorder="1" applyAlignment="1" applyProtection="1">
      <alignment horizontal="right" vertical="top" wrapText="1"/>
      <protection/>
    </xf>
    <xf numFmtId="0" fontId="87" fillId="35" borderId="10" xfId="0" applyNumberFormat="1" applyFont="1" applyFill="1" applyBorder="1" applyAlignment="1" applyProtection="1">
      <alignment horizontal="right" vertical="center" wrapText="1"/>
      <protection/>
    </xf>
    <xf numFmtId="182" fontId="88" fillId="35" borderId="10" xfId="65" applyNumberFormat="1" applyFont="1" applyFill="1" applyBorder="1" applyAlignment="1" applyProtection="1">
      <alignment horizontal="right" vertical="center" wrapText="1"/>
      <protection/>
    </xf>
    <xf numFmtId="2" fontId="87" fillId="35" borderId="10" xfId="0" applyNumberFormat="1" applyFont="1" applyFill="1" applyBorder="1" applyAlignment="1" applyProtection="1">
      <alignment horizontal="right" vertical="top" wrapText="1"/>
      <protection/>
    </xf>
    <xf numFmtId="3" fontId="87" fillId="35" borderId="10" xfId="0" applyNumberFormat="1" applyFont="1" applyFill="1" applyBorder="1" applyAlignment="1" applyProtection="1">
      <alignment horizontal="right" vertical="top" wrapText="1"/>
      <protection/>
    </xf>
    <xf numFmtId="0" fontId="87" fillId="35" borderId="10" xfId="0" applyNumberFormat="1" applyFont="1" applyFill="1" applyBorder="1" applyAlignment="1" applyProtection="1">
      <alignment horizontal="right" vertical="top" wrapText="1"/>
      <protection/>
    </xf>
    <xf numFmtId="1" fontId="87" fillId="35" borderId="10" xfId="0" applyNumberFormat="1" applyFont="1" applyFill="1" applyBorder="1" applyAlignment="1" applyProtection="1">
      <alignment horizontal="right" vertical="top" wrapText="1"/>
      <protection/>
    </xf>
    <xf numFmtId="3" fontId="1" fillId="0" borderId="10" xfId="0" applyNumberFormat="1" applyFont="1" applyFill="1" applyBorder="1" applyAlignment="1" applyProtection="1">
      <alignment vertical="top" wrapText="1"/>
      <protection/>
    </xf>
    <xf numFmtId="3" fontId="1" fillId="35" borderId="10" xfId="0" applyNumberFormat="1" applyFont="1" applyFill="1" applyBorder="1" applyAlignment="1" applyProtection="1">
      <alignment vertical="top" wrapText="1"/>
      <protection/>
    </xf>
    <xf numFmtId="3" fontId="1" fillId="0" borderId="0" xfId="0" applyNumberFormat="1" applyFont="1" applyFill="1" applyBorder="1" applyAlignment="1" applyProtection="1">
      <alignment vertical="top" wrapText="1"/>
      <protection/>
    </xf>
    <xf numFmtId="1" fontId="1" fillId="35" borderId="10" xfId="0" applyNumberFormat="1" applyFont="1" applyFill="1" applyBorder="1" applyAlignment="1" applyProtection="1">
      <alignment horizontal="right" vertical="center" wrapText="1"/>
      <protection/>
    </xf>
    <xf numFmtId="172" fontId="1" fillId="35" borderId="10" xfId="0" applyNumberFormat="1" applyFont="1" applyFill="1" applyBorder="1" applyAlignment="1" applyProtection="1">
      <alignment vertical="center" wrapText="1"/>
      <protection/>
    </xf>
    <xf numFmtId="3" fontId="9" fillId="35" borderId="10" xfId="0" applyNumberFormat="1" applyFont="1" applyFill="1" applyBorder="1" applyAlignment="1" applyProtection="1">
      <alignment horizontal="right" vertical="center" wrapText="1"/>
      <protection/>
    </xf>
    <xf numFmtId="3" fontId="88" fillId="35" borderId="10" xfId="0" applyNumberFormat="1" applyFont="1" applyFill="1" applyBorder="1" applyAlignment="1" applyProtection="1">
      <alignment vertical="center" wrapText="1"/>
      <protection/>
    </xf>
    <xf numFmtId="0" fontId="88" fillId="35" borderId="10" xfId="0" applyNumberFormat="1" applyFont="1" applyFill="1" applyBorder="1" applyAlignment="1" applyProtection="1">
      <alignment vertical="center" wrapText="1"/>
      <protection/>
    </xf>
    <xf numFmtId="182" fontId="88" fillId="35" borderId="10" xfId="65" applyNumberFormat="1" applyFont="1" applyFill="1" applyBorder="1" applyAlignment="1" applyProtection="1">
      <alignment horizontal="center" vertical="center" wrapText="1"/>
      <protection/>
    </xf>
    <xf numFmtId="1" fontId="1" fillId="35" borderId="10" xfId="0" applyNumberFormat="1" applyFont="1" applyFill="1" applyBorder="1" applyAlignment="1" applyProtection="1">
      <alignment vertical="top" wrapText="1"/>
      <protection/>
    </xf>
    <xf numFmtId="1" fontId="1" fillId="35" borderId="10" xfId="0" applyNumberFormat="1" applyFont="1" applyFill="1" applyBorder="1" applyAlignment="1" applyProtection="1">
      <alignment vertical="top"/>
      <protection/>
    </xf>
    <xf numFmtId="1" fontId="11" fillId="35" borderId="10" xfId="0" applyNumberFormat="1" applyFont="1" applyFill="1" applyBorder="1" applyAlignment="1" applyProtection="1">
      <alignment vertical="top"/>
      <protection/>
    </xf>
    <xf numFmtId="0" fontId="1" fillId="35" borderId="10" xfId="0" applyNumberFormat="1" applyFont="1" applyFill="1" applyBorder="1" applyAlignment="1" applyProtection="1">
      <alignment horizontal="right" vertical="top"/>
      <protection/>
    </xf>
    <xf numFmtId="9" fontId="1" fillId="35" borderId="10" xfId="0" applyNumberFormat="1" applyFont="1" applyFill="1" applyBorder="1" applyAlignment="1" applyProtection="1">
      <alignment vertical="center" wrapText="1"/>
      <protection/>
    </xf>
    <xf numFmtId="2" fontId="1" fillId="35" borderId="10" xfId="0" applyNumberFormat="1" applyFont="1" applyFill="1" applyBorder="1" applyAlignment="1" applyProtection="1">
      <alignment vertical="top"/>
      <protection/>
    </xf>
    <xf numFmtId="0" fontId="11" fillId="35" borderId="0" xfId="0" applyNumberFormat="1" applyFont="1" applyFill="1" applyBorder="1" applyAlignment="1" applyProtection="1">
      <alignment horizontal="center" vertical="top"/>
      <protection/>
    </xf>
    <xf numFmtId="3" fontId="1" fillId="35" borderId="10" xfId="0" applyNumberFormat="1" applyFont="1" applyFill="1" applyBorder="1" applyAlignment="1" applyProtection="1">
      <alignment horizontal="right" vertical="top" wrapText="1"/>
      <protection/>
    </xf>
    <xf numFmtId="0" fontId="1" fillId="35" borderId="10" xfId="0" applyNumberFormat="1" applyFont="1" applyFill="1" applyBorder="1" applyAlignment="1" applyProtection="1">
      <alignment horizontal="right" vertical="top" wrapText="1"/>
      <protection/>
    </xf>
    <xf numFmtId="1" fontId="1" fillId="35" borderId="1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88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35" borderId="28" xfId="0" applyNumberFormat="1" applyFont="1" applyFill="1" applyBorder="1" applyAlignment="1" applyProtection="1">
      <alignment horizontal="right" vertical="center" wrapText="1"/>
      <protection/>
    </xf>
    <xf numFmtId="1" fontId="1" fillId="35" borderId="28" xfId="0" applyNumberFormat="1" applyFont="1" applyFill="1" applyBorder="1" applyAlignment="1" applyProtection="1">
      <alignment horizontal="right" vertical="center"/>
      <protection/>
    </xf>
    <xf numFmtId="177" fontId="98" fillId="0" borderId="0" xfId="0" applyNumberFormat="1" applyFont="1" applyFill="1" applyBorder="1" applyAlignment="1" applyProtection="1">
      <alignment vertical="top"/>
      <protection/>
    </xf>
    <xf numFmtId="1" fontId="98" fillId="0" borderId="0" xfId="0" applyNumberFormat="1" applyFont="1" applyFill="1" applyBorder="1" applyAlignment="1" applyProtection="1">
      <alignment vertical="top"/>
      <protection/>
    </xf>
    <xf numFmtId="0" fontId="88" fillId="0" borderId="27" xfId="0" applyNumberFormat="1" applyFont="1" applyFill="1" applyBorder="1" applyAlignment="1" applyProtection="1">
      <alignment horizontal="right" vertical="center" wrapText="1"/>
      <protection/>
    </xf>
    <xf numFmtId="0" fontId="88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7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88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28" xfId="0" applyNumberFormat="1" applyFont="1" applyFill="1" applyBorder="1" applyAlignment="1" applyProtection="1">
      <alignment horizontal="center" vertical="top"/>
      <protection/>
    </xf>
    <xf numFmtId="0" fontId="87" fillId="0" borderId="10" xfId="0" applyNumberFormat="1" applyFont="1" applyFill="1" applyBorder="1" applyAlignment="1" applyProtection="1">
      <alignment horizontal="center" vertical="top"/>
      <protection/>
    </xf>
    <xf numFmtId="0" fontId="87" fillId="0" borderId="21" xfId="0" applyNumberFormat="1" applyFont="1" applyFill="1" applyBorder="1" applyAlignment="1" applyProtection="1">
      <alignment horizontal="center" vertical="top"/>
      <protection/>
    </xf>
    <xf numFmtId="0" fontId="87" fillId="0" borderId="28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88" fillId="0" borderId="10" xfId="0" applyNumberFormat="1" applyFont="1" applyFill="1" applyBorder="1" applyAlignment="1" applyProtection="1">
      <alignment vertical="center" wrapText="1"/>
      <protection/>
    </xf>
    <xf numFmtId="0" fontId="87" fillId="0" borderId="27" xfId="0" applyNumberFormat="1" applyFont="1" applyFill="1" applyBorder="1" applyAlignment="1" applyProtection="1">
      <alignment horizontal="right" vertical="center" wrapText="1"/>
      <protection/>
    </xf>
    <xf numFmtId="0" fontId="87" fillId="0" borderId="20" xfId="0" applyNumberFormat="1" applyFont="1" applyFill="1" applyBorder="1" applyAlignment="1" applyProtection="1">
      <alignment horizontal="right" vertical="center" wrapText="1"/>
      <protection/>
    </xf>
    <xf numFmtId="0" fontId="87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horizontal="right" vertical="center" wrapText="1"/>
      <protection/>
    </xf>
    <xf numFmtId="0" fontId="1" fillId="0" borderId="30" xfId="0" applyNumberFormat="1" applyFont="1" applyFill="1" applyBorder="1" applyAlignment="1" applyProtection="1">
      <alignment horizontal="right" vertical="center" wrapText="1"/>
      <protection/>
    </xf>
    <xf numFmtId="0" fontId="1" fillId="0" borderId="26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27" xfId="0" applyNumberFormat="1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  <xf numFmtId="3" fontId="1" fillId="0" borderId="23" xfId="0" applyNumberFormat="1" applyFont="1" applyBorder="1" applyAlignment="1">
      <alignment horizontal="center" vertical="top"/>
    </xf>
    <xf numFmtId="3" fontId="1" fillId="0" borderId="10" xfId="56" applyNumberFormat="1" applyFont="1" applyBorder="1" applyAlignment="1">
      <alignment horizontal="center" vertical="center" wrapText="1"/>
      <protection/>
    </xf>
    <xf numFmtId="1" fontId="1" fillId="0" borderId="10" xfId="56" applyNumberFormat="1" applyFont="1" applyBorder="1" applyAlignment="1">
      <alignment horizontal="center"/>
      <protection/>
    </xf>
    <xf numFmtId="3" fontId="1" fillId="0" borderId="10" xfId="56" applyNumberFormat="1" applyFont="1" applyBorder="1" applyAlignment="1">
      <alignment horizontal="center" vertical="center"/>
      <protection/>
    </xf>
    <xf numFmtId="3" fontId="1" fillId="0" borderId="10" xfId="56" applyNumberFormat="1" applyFont="1" applyBorder="1" applyAlignment="1">
      <alignment horizontal="center"/>
      <protection/>
    </xf>
    <xf numFmtId="1" fontId="1" fillId="0" borderId="10" xfId="0" applyNumberFormat="1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npu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Расчёты Бизнес план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9</xdr:row>
      <xdr:rowOff>95250</xdr:rowOff>
    </xdr:from>
    <xdr:to>
      <xdr:col>4</xdr:col>
      <xdr:colOff>600075</xdr:colOff>
      <xdr:row>9</xdr:row>
      <xdr:rowOff>104775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4324350" y="1714500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371475</xdr:colOff>
      <xdr:row>13</xdr:row>
      <xdr:rowOff>76200</xdr:rowOff>
    </xdr:from>
    <xdr:to>
      <xdr:col>6</xdr:col>
      <xdr:colOff>628650</xdr:colOff>
      <xdr:row>13</xdr:row>
      <xdr:rowOff>142875</xdr:rowOff>
    </xdr:to>
    <xdr:sp>
      <xdr:nvSpPr>
        <xdr:cNvPr id="2" name="Прямая со стрелкой 8"/>
        <xdr:cNvSpPr>
          <a:spLocks/>
        </xdr:cNvSpPr>
      </xdr:nvSpPr>
      <xdr:spPr>
        <a:xfrm flipV="1">
          <a:off x="6067425" y="2343150"/>
          <a:ext cx="257175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41;&#1048;&#1047;&#1053;&#1045;&#1057;-&#1055;&#1051;&#1040;&#1053;\&#1041;&#1080;&#1079;&#1085;&#1077;&#1089;-&#1087;&#1083;&#1072;&#1085;%20&#1052;&#1057;&#1055;\&#1041;&#1055;%20&#1082;&#1086;&#1090;&#1077;&#1083;&#1100;&#1085;&#1086;&#1081;\2019\&#1058;&#1077;&#1087;&#1083;&#1086;_&#1079;&#1072;&#1087;&#1088;&#1086;&#1089;%20&#1076;&#1072;&#1085;&#1085;&#1099;&#1093;%20&#1076;&#1083;&#1103;%20&#1084;&#1086;&#1076;&#1077;&#1083;&#1080;%20&#1091;%20&#1082;&#1083;&#1080;&#1077;&#1085;&#1090;&#1072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Input"/>
      <sheetName val="Controls"/>
    </sheetNames>
    <sheetDataSet>
      <sheetData sheetId="1">
        <row r="41">
          <cell r="D4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62"/>
  <sheetViews>
    <sheetView tabSelected="1" zoomScale="70" zoomScaleNormal="70" zoomScalePageLayoutView="0" workbookViewId="0" topLeftCell="A240">
      <selection activeCell="H269" sqref="H269"/>
    </sheetView>
  </sheetViews>
  <sheetFormatPr defaultColWidth="9.140625" defaultRowHeight="12.75" outlineLevelRow="1"/>
  <cols>
    <col min="1" max="1" width="4.421875" style="58" customWidth="1"/>
    <col min="2" max="2" width="29.8515625" style="45" customWidth="1"/>
    <col min="3" max="3" width="12.421875" style="45" customWidth="1"/>
    <col min="4" max="4" width="13.140625" style="45" customWidth="1"/>
    <col min="5" max="5" width="14.28125" style="45" customWidth="1"/>
    <col min="6" max="6" width="11.28125" style="45" customWidth="1"/>
    <col min="7" max="7" width="10.28125" style="45" customWidth="1"/>
    <col min="8" max="8" width="10.00390625" style="45" customWidth="1"/>
    <col min="9" max="9" width="11.421875" style="45" bestFit="1" customWidth="1"/>
    <col min="10" max="16384" width="9.140625" style="45" customWidth="1"/>
  </cols>
  <sheetData>
    <row r="1" spans="1:3" s="96" customFormat="1" ht="18">
      <c r="A1" s="143"/>
      <c r="B1" s="97" t="s">
        <v>164</v>
      </c>
      <c r="C1" s="96" t="s">
        <v>251</v>
      </c>
    </row>
    <row r="2" ht="12.75"/>
    <row r="3" spans="1:86" s="50" customFormat="1" ht="12.75">
      <c r="A3" s="144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</row>
    <row r="4" spans="1:86" s="50" customFormat="1" ht="20.25">
      <c r="A4" s="144"/>
      <c r="B4" s="55" t="s">
        <v>53</v>
      </c>
      <c r="C4" s="55"/>
      <c r="D4" s="56"/>
      <c r="E4" s="56"/>
      <c r="F4" s="56"/>
      <c r="G4" s="57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</row>
    <row r="5" spans="1:86" s="51" customFormat="1" ht="12.75">
      <c r="A5" s="145"/>
      <c r="B5" s="52" t="s">
        <v>70</v>
      </c>
      <c r="C5" s="52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</row>
    <row r="6" spans="1:86" s="51" customFormat="1" ht="12.75">
      <c r="A6" s="145"/>
      <c r="B6" s="52" t="s">
        <v>250</v>
      </c>
      <c r="C6" s="52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</row>
    <row r="7" ht="12.75"/>
    <row r="8" spans="2:7" ht="12.75">
      <c r="B8" s="98" t="s">
        <v>54</v>
      </c>
      <c r="C8" s="99"/>
      <c r="D8" s="99"/>
      <c r="E8" s="99"/>
      <c r="F8" s="99"/>
      <c r="G8" s="100"/>
    </row>
    <row r="9" spans="2:7" ht="12.75">
      <c r="B9" s="101"/>
      <c r="G9" s="102"/>
    </row>
    <row r="10" spans="2:7" ht="12.75">
      <c r="B10" s="101" t="s">
        <v>78</v>
      </c>
      <c r="F10" s="48"/>
      <c r="G10" s="102"/>
    </row>
    <row r="11" spans="1:7" s="53" customFormat="1" ht="12.75">
      <c r="A11" s="146"/>
      <c r="B11" s="103" t="s">
        <v>82</v>
      </c>
      <c r="G11" s="104"/>
    </row>
    <row r="12" spans="2:7" ht="12.75">
      <c r="B12" s="101"/>
      <c r="G12" s="102"/>
    </row>
    <row r="13" spans="2:7" ht="12.75">
      <c r="B13" s="101" t="s">
        <v>55</v>
      </c>
      <c r="G13" s="102"/>
    </row>
    <row r="14" spans="2:7" ht="12.75">
      <c r="B14" s="103" t="s">
        <v>56</v>
      </c>
      <c r="C14" s="53"/>
      <c r="G14" s="102"/>
    </row>
    <row r="15" spans="2:7" ht="12.75">
      <c r="B15" s="103"/>
      <c r="C15" s="53"/>
      <c r="G15" s="102"/>
    </row>
    <row r="16" spans="2:7" ht="12.75">
      <c r="B16" s="101" t="s">
        <v>163</v>
      </c>
      <c r="G16" s="102"/>
    </row>
    <row r="17" spans="2:7" ht="12.75">
      <c r="B17" s="105" t="s">
        <v>359</v>
      </c>
      <c r="C17" s="106"/>
      <c r="D17" s="106"/>
      <c r="E17" s="106"/>
      <c r="F17" s="106"/>
      <c r="G17" s="107"/>
    </row>
    <row r="18" ht="12.75">
      <c r="B18" s="53"/>
    </row>
    <row r="19" spans="1:86" s="54" customFormat="1" ht="12.75">
      <c r="A19" s="147"/>
      <c r="B19" s="47" t="s">
        <v>60</v>
      </c>
      <c r="C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</row>
    <row r="20" ht="12.75"/>
    <row r="21" spans="2:4" ht="12.75">
      <c r="B21" s="45" t="s">
        <v>62</v>
      </c>
      <c r="C21" s="58"/>
      <c r="D21" s="248" t="s">
        <v>63</v>
      </c>
    </row>
    <row r="22" spans="2:4" ht="12.75">
      <c r="B22" s="45" t="s">
        <v>64</v>
      </c>
      <c r="C22" s="58"/>
      <c r="D22" s="248" t="s">
        <v>61</v>
      </c>
    </row>
    <row r="23" spans="2:4" ht="12.75">
      <c r="B23" s="45" t="s">
        <v>65</v>
      </c>
      <c r="C23" s="58"/>
      <c r="D23" s="248">
        <f>5*4</f>
        <v>20</v>
      </c>
    </row>
    <row r="24" spans="2:4" ht="12.75">
      <c r="B24" s="45" t="s">
        <v>213</v>
      </c>
      <c r="C24" s="58"/>
      <c r="D24" s="248" t="s">
        <v>8</v>
      </c>
    </row>
    <row r="25" spans="2:3" ht="12.75">
      <c r="B25" s="49" t="s">
        <v>214</v>
      </c>
      <c r="C25" s="58"/>
    </row>
    <row r="26" spans="2:4" ht="12.75" hidden="1">
      <c r="B26" s="45" t="s">
        <v>225</v>
      </c>
      <c r="C26" s="58"/>
      <c r="D26" s="167">
        <v>1</v>
      </c>
    </row>
    <row r="27" spans="2:3" ht="12.75" hidden="1">
      <c r="B27" s="49" t="s">
        <v>226</v>
      </c>
      <c r="C27" s="58"/>
    </row>
    <row r="28" spans="2:4" ht="12.75" hidden="1">
      <c r="B28" s="45" t="s">
        <v>227</v>
      </c>
      <c r="C28" s="58"/>
      <c r="D28" s="168">
        <f>IF(D26=1,1,1.05)</f>
        <v>1</v>
      </c>
    </row>
    <row r="29" ht="12.75"/>
    <row r="30" spans="1:86" s="54" customFormat="1" ht="12.75">
      <c r="A30" s="147"/>
      <c r="B30" s="47" t="s">
        <v>69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</row>
    <row r="31" ht="12.75">
      <c r="B31" s="53" t="s">
        <v>204</v>
      </c>
    </row>
    <row r="32" ht="12.75">
      <c r="B32" s="53"/>
    </row>
    <row r="33" spans="2:4" ht="12.75">
      <c r="B33" s="45" t="s">
        <v>57</v>
      </c>
      <c r="D33" s="89">
        <v>2019</v>
      </c>
    </row>
    <row r="34" spans="1:2" s="49" customFormat="1" ht="12">
      <c r="A34" s="148"/>
      <c r="B34" s="49" t="s">
        <v>58</v>
      </c>
    </row>
    <row r="35" spans="2:4" ht="12.75">
      <c r="B35" s="45" t="s">
        <v>59</v>
      </c>
      <c r="D35" s="89">
        <v>1</v>
      </c>
    </row>
    <row r="36" spans="1:2" s="59" customFormat="1" ht="12">
      <c r="A36" s="149"/>
      <c r="B36" s="49" t="s">
        <v>67</v>
      </c>
    </row>
    <row r="37" ht="12.75"/>
    <row r="38" spans="2:4" ht="12.75">
      <c r="B38" s="45" t="s">
        <v>66</v>
      </c>
      <c r="D38" s="89">
        <v>2</v>
      </c>
    </row>
    <row r="39" spans="1:2" s="59" customFormat="1" ht="12">
      <c r="A39" s="149"/>
      <c r="B39" s="49" t="s">
        <v>68</v>
      </c>
    </row>
    <row r="40" ht="12.75"/>
    <row r="41" spans="1:86" s="47" customFormat="1" ht="12.75">
      <c r="A41" s="150"/>
      <c r="B41" s="47" t="s">
        <v>71</v>
      </c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</row>
    <row r="42" ht="12.75">
      <c r="B42" s="53" t="s">
        <v>79</v>
      </c>
    </row>
    <row r="43" ht="12.75">
      <c r="B43" s="53"/>
    </row>
    <row r="44" spans="1:2" ht="15">
      <c r="A44" s="58" t="s">
        <v>205</v>
      </c>
      <c r="B44" s="65" t="s">
        <v>326</v>
      </c>
    </row>
    <row r="45" spans="2:4" ht="38.25">
      <c r="B45" s="189" t="s">
        <v>72</v>
      </c>
      <c r="C45" s="189" t="s">
        <v>73</v>
      </c>
      <c r="D45" s="189" t="s">
        <v>74</v>
      </c>
    </row>
    <row r="46" spans="2:4" ht="12.75">
      <c r="B46" s="190" t="s">
        <v>75</v>
      </c>
      <c r="C46" s="66">
        <v>50000</v>
      </c>
      <c r="D46" s="198">
        <v>1</v>
      </c>
    </row>
    <row r="47" spans="2:4" ht="12.75">
      <c r="B47" s="192" t="s">
        <v>234</v>
      </c>
      <c r="C47" s="193">
        <v>3000</v>
      </c>
      <c r="D47" s="199">
        <v>1</v>
      </c>
    </row>
    <row r="48" spans="2:4" ht="25.5">
      <c r="B48" s="196" t="s">
        <v>252</v>
      </c>
      <c r="C48" s="197">
        <v>45000</v>
      </c>
      <c r="D48" s="84">
        <v>1</v>
      </c>
    </row>
    <row r="49" spans="2:4" ht="25.5">
      <c r="B49" s="196" t="s">
        <v>253</v>
      </c>
      <c r="C49" s="197">
        <v>40000</v>
      </c>
      <c r="D49" s="84">
        <v>4</v>
      </c>
    </row>
    <row r="50" spans="2:4" ht="12.75">
      <c r="B50" s="196" t="s">
        <v>76</v>
      </c>
      <c r="C50" s="197">
        <v>30000</v>
      </c>
      <c r="D50" s="84">
        <v>1</v>
      </c>
    </row>
    <row r="51" spans="2:4" ht="12.75">
      <c r="B51" s="196" t="s">
        <v>254</v>
      </c>
      <c r="C51" s="197">
        <v>35000</v>
      </c>
      <c r="D51" s="84">
        <v>1</v>
      </c>
    </row>
    <row r="52" spans="2:4" ht="12.75">
      <c r="B52" s="194" t="s">
        <v>77</v>
      </c>
      <c r="C52" s="195" t="s">
        <v>30</v>
      </c>
      <c r="D52" s="195">
        <f>SUM(D46:D51)</f>
        <v>9</v>
      </c>
    </row>
    <row r="53" ht="12.75"/>
    <row r="54" spans="1:86" s="46" customFormat="1" ht="12.75">
      <c r="A54" s="151"/>
      <c r="B54" s="46" t="s">
        <v>80</v>
      </c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</row>
    <row r="55" ht="12.75">
      <c r="B55" s="53" t="s">
        <v>203</v>
      </c>
    </row>
    <row r="56" ht="12.75">
      <c r="B56" s="53"/>
    </row>
    <row r="57" spans="1:2" ht="17.25" customHeight="1">
      <c r="A57" s="58" t="s">
        <v>206</v>
      </c>
      <c r="B57" s="63" t="s">
        <v>83</v>
      </c>
    </row>
    <row r="58" spans="1:5" s="67" customFormat="1" ht="32.25" customHeight="1">
      <c r="A58" s="152"/>
      <c r="B58" s="72" t="s">
        <v>261</v>
      </c>
      <c r="C58" s="72" t="s">
        <v>262</v>
      </c>
      <c r="D58" s="72" t="s">
        <v>263</v>
      </c>
      <c r="E58" s="156" t="s">
        <v>81</v>
      </c>
    </row>
    <row r="59" spans="2:5" ht="12.75">
      <c r="B59" s="262" t="s">
        <v>255</v>
      </c>
      <c r="C59" s="263"/>
      <c r="D59" s="264"/>
      <c r="E59" s="203">
        <f>SUM(E60:E64)</f>
        <v>299.035</v>
      </c>
    </row>
    <row r="60" spans="2:5" ht="12.75">
      <c r="B60" s="196" t="s">
        <v>256</v>
      </c>
      <c r="C60" s="84">
        <v>0.5</v>
      </c>
      <c r="D60" s="84">
        <v>400</v>
      </c>
      <c r="E60" s="204">
        <f>C60*D60</f>
        <v>200</v>
      </c>
    </row>
    <row r="61" spans="2:5" ht="12.75">
      <c r="B61" s="196" t="s">
        <v>257</v>
      </c>
      <c r="C61" s="84">
        <v>0.2</v>
      </c>
      <c r="D61" s="84">
        <v>450</v>
      </c>
      <c r="E61" s="204">
        <f>C61*D61</f>
        <v>90</v>
      </c>
    </row>
    <row r="62" spans="2:5" ht="12.75">
      <c r="B62" s="196" t="s">
        <v>258</v>
      </c>
      <c r="C62" s="84">
        <v>0.193</v>
      </c>
      <c r="D62" s="84">
        <v>40</v>
      </c>
      <c r="E62" s="204">
        <f>C62*D62</f>
        <v>7.720000000000001</v>
      </c>
    </row>
    <row r="63" spans="2:5" ht="12.75">
      <c r="B63" s="196" t="s">
        <v>259</v>
      </c>
      <c r="C63" s="84">
        <v>0.007</v>
      </c>
      <c r="D63" s="84">
        <v>45</v>
      </c>
      <c r="E63" s="204">
        <f>C63*D63</f>
        <v>0.315</v>
      </c>
    </row>
    <row r="64" spans="2:5" ht="12.75">
      <c r="B64" s="196" t="s">
        <v>260</v>
      </c>
      <c r="C64" s="84">
        <v>1</v>
      </c>
      <c r="D64" s="84">
        <v>1</v>
      </c>
      <c r="E64" s="204">
        <f>C64*D64</f>
        <v>1</v>
      </c>
    </row>
    <row r="65" spans="2:5" ht="12.75">
      <c r="B65" s="265" t="s">
        <v>266</v>
      </c>
      <c r="C65" s="265"/>
      <c r="D65" s="265"/>
      <c r="E65" s="205">
        <f>SUM(E66:E71)</f>
        <v>208.2025</v>
      </c>
    </row>
    <row r="66" spans="2:5" ht="12.75">
      <c r="B66" s="196" t="s">
        <v>256</v>
      </c>
      <c r="C66" s="84">
        <v>0.3</v>
      </c>
      <c r="D66" s="84">
        <f>D60</f>
        <v>400</v>
      </c>
      <c r="E66" s="206">
        <f aca="true" t="shared" si="0" ref="E66:E71">C66*D66</f>
        <v>120</v>
      </c>
    </row>
    <row r="67" spans="2:5" ht="12.75">
      <c r="B67" s="196" t="s">
        <v>257</v>
      </c>
      <c r="C67" s="84">
        <v>0.1</v>
      </c>
      <c r="D67" s="84">
        <f>D61</f>
        <v>450</v>
      </c>
      <c r="E67" s="206">
        <f t="shared" si="0"/>
        <v>45</v>
      </c>
    </row>
    <row r="68" spans="2:5" ht="12.75">
      <c r="B68" s="196" t="s">
        <v>264</v>
      </c>
      <c r="C68" s="84">
        <v>0.4</v>
      </c>
      <c r="D68" s="84">
        <v>62.5</v>
      </c>
      <c r="E68" s="206">
        <f t="shared" si="0"/>
        <v>25</v>
      </c>
    </row>
    <row r="69" spans="2:5" ht="12.75">
      <c r="B69" s="196" t="s">
        <v>259</v>
      </c>
      <c r="C69" s="84">
        <v>0.007</v>
      </c>
      <c r="D69" s="84">
        <f>D63</f>
        <v>45</v>
      </c>
      <c r="E69" s="206">
        <f t="shared" si="0"/>
        <v>0.315</v>
      </c>
    </row>
    <row r="70" spans="2:5" ht="12.75">
      <c r="B70" s="196" t="s">
        <v>265</v>
      </c>
      <c r="C70" s="84">
        <v>0.193</v>
      </c>
      <c r="D70" s="84">
        <v>87.5</v>
      </c>
      <c r="E70" s="206">
        <f t="shared" si="0"/>
        <v>16.8875</v>
      </c>
    </row>
    <row r="71" spans="2:5" ht="12.75">
      <c r="B71" s="196" t="s">
        <v>260</v>
      </c>
      <c r="C71" s="84">
        <v>1</v>
      </c>
      <c r="D71" s="84">
        <v>1</v>
      </c>
      <c r="E71" s="206">
        <f t="shared" si="0"/>
        <v>1</v>
      </c>
    </row>
    <row r="72" spans="2:5" ht="12.75">
      <c r="B72" s="265" t="s">
        <v>267</v>
      </c>
      <c r="C72" s="265"/>
      <c r="D72" s="265"/>
      <c r="E72" s="203">
        <f>SUM(E73:E79)</f>
        <v>207.87</v>
      </c>
    </row>
    <row r="73" spans="2:5" ht="12.75">
      <c r="B73" s="196" t="s">
        <v>256</v>
      </c>
      <c r="C73" s="84">
        <v>0.25</v>
      </c>
      <c r="D73" s="84">
        <f>D66</f>
        <v>400</v>
      </c>
      <c r="E73" s="204">
        <f>C73*D73</f>
        <v>100</v>
      </c>
    </row>
    <row r="74" spans="2:5" ht="12.75">
      <c r="B74" s="196" t="s">
        <v>257</v>
      </c>
      <c r="C74" s="84">
        <v>0.19</v>
      </c>
      <c r="D74" s="84">
        <f>D67</f>
        <v>450</v>
      </c>
      <c r="E74" s="204">
        <f aca="true" t="shared" si="1" ref="E74:E79">C74*D74</f>
        <v>85.5</v>
      </c>
    </row>
    <row r="75" spans="2:5" ht="12.75">
      <c r="B75" s="196" t="s">
        <v>259</v>
      </c>
      <c r="C75" s="84">
        <v>0.008</v>
      </c>
      <c r="D75" s="84">
        <f>D69</f>
        <v>45</v>
      </c>
      <c r="E75" s="204">
        <f t="shared" si="1"/>
        <v>0.36</v>
      </c>
    </row>
    <row r="76" spans="2:5" ht="12.75">
      <c r="B76" s="196" t="s">
        <v>268</v>
      </c>
      <c r="C76" s="84">
        <v>0.05</v>
      </c>
      <c r="D76" s="84">
        <v>65</v>
      </c>
      <c r="E76" s="204">
        <f t="shared" si="1"/>
        <v>3.25</v>
      </c>
    </row>
    <row r="77" spans="2:5" ht="12.75">
      <c r="B77" s="196" t="s">
        <v>269</v>
      </c>
      <c r="C77" s="84">
        <v>0.35</v>
      </c>
      <c r="D77" s="84">
        <v>50</v>
      </c>
      <c r="E77" s="204">
        <f t="shared" si="1"/>
        <v>17.5</v>
      </c>
    </row>
    <row r="78" spans="2:5" ht="12.75">
      <c r="B78" s="196" t="s">
        <v>270</v>
      </c>
      <c r="C78" s="84">
        <v>0.002</v>
      </c>
      <c r="D78" s="84">
        <v>130</v>
      </c>
      <c r="E78" s="204">
        <f t="shared" si="1"/>
        <v>0.26</v>
      </c>
    </row>
    <row r="79" spans="2:5" ht="12.75">
      <c r="B79" s="196" t="s">
        <v>260</v>
      </c>
      <c r="C79" s="84">
        <v>1</v>
      </c>
      <c r="D79" s="84">
        <v>1</v>
      </c>
      <c r="E79" s="204">
        <f t="shared" si="1"/>
        <v>1</v>
      </c>
    </row>
    <row r="80" spans="2:5" ht="12.75">
      <c r="B80" s="265" t="s">
        <v>271</v>
      </c>
      <c r="C80" s="265"/>
      <c r="D80" s="265"/>
      <c r="E80" s="204">
        <f>SUM(E81:E85)</f>
        <v>45.519999999999996</v>
      </c>
    </row>
    <row r="81" spans="2:5" ht="25.5">
      <c r="B81" s="200" t="s">
        <v>272</v>
      </c>
      <c r="C81" s="201">
        <v>0.44</v>
      </c>
      <c r="D81" s="84">
        <v>60</v>
      </c>
      <c r="E81" s="204">
        <f>C81*D81</f>
        <v>26.4</v>
      </c>
    </row>
    <row r="82" spans="2:5" ht="12.75">
      <c r="B82" s="200" t="s">
        <v>273</v>
      </c>
      <c r="C82" s="201">
        <v>0.008</v>
      </c>
      <c r="D82" s="84">
        <f>D75</f>
        <v>45</v>
      </c>
      <c r="E82" s="204">
        <f>C82*D82</f>
        <v>0.36</v>
      </c>
    </row>
    <row r="83" spans="2:5" ht="12.75">
      <c r="B83" s="200" t="s">
        <v>274</v>
      </c>
      <c r="C83" s="201">
        <v>0.35</v>
      </c>
      <c r="D83" s="84">
        <f>D77</f>
        <v>50</v>
      </c>
      <c r="E83" s="204">
        <f>C83*D83</f>
        <v>17.5</v>
      </c>
    </row>
    <row r="84" spans="2:5" ht="12.75">
      <c r="B84" s="200" t="s">
        <v>270</v>
      </c>
      <c r="C84" s="201">
        <v>0.002</v>
      </c>
      <c r="D84" s="84">
        <f>D78</f>
        <v>130</v>
      </c>
      <c r="E84" s="204">
        <f>C84*D84</f>
        <v>0.26</v>
      </c>
    </row>
    <row r="85" spans="2:5" ht="12.75">
      <c r="B85" s="200" t="s">
        <v>260</v>
      </c>
      <c r="C85" s="201">
        <v>1</v>
      </c>
      <c r="D85" s="84">
        <v>1</v>
      </c>
      <c r="E85" s="204">
        <f>C85*D85</f>
        <v>1</v>
      </c>
    </row>
    <row r="86" spans="2:5" ht="12.75">
      <c r="B86" s="259" t="s">
        <v>275</v>
      </c>
      <c r="C86" s="260"/>
      <c r="D86" s="261"/>
      <c r="E86" s="203">
        <f>SUM(E87:E92)</f>
        <v>45.919999999999995</v>
      </c>
    </row>
    <row r="87" spans="2:5" ht="25.5">
      <c r="B87" s="200" t="s">
        <v>272</v>
      </c>
      <c r="C87" s="201">
        <v>0.44</v>
      </c>
      <c r="D87" s="84">
        <f>D81</f>
        <v>60</v>
      </c>
      <c r="E87" s="203">
        <f aca="true" t="shared" si="2" ref="E87:E92">C87*D87</f>
        <v>26.4</v>
      </c>
    </row>
    <row r="88" spans="2:5" ht="12.75">
      <c r="B88" s="200" t="s">
        <v>273</v>
      </c>
      <c r="C88" s="201">
        <v>0.008</v>
      </c>
      <c r="D88" s="84">
        <f>D82</f>
        <v>45</v>
      </c>
      <c r="E88" s="203">
        <f t="shared" si="2"/>
        <v>0.36</v>
      </c>
    </row>
    <row r="89" spans="2:5" ht="12.75">
      <c r="B89" s="200" t="s">
        <v>274</v>
      </c>
      <c r="C89" s="201">
        <v>0.35</v>
      </c>
      <c r="D89" s="84">
        <f>D83</f>
        <v>50</v>
      </c>
      <c r="E89" s="203">
        <f t="shared" si="2"/>
        <v>17.5</v>
      </c>
    </row>
    <row r="90" spans="2:5" ht="12.75">
      <c r="B90" s="200" t="s">
        <v>276</v>
      </c>
      <c r="C90" s="201">
        <v>0.002</v>
      </c>
      <c r="D90" s="84">
        <v>200</v>
      </c>
      <c r="E90" s="203">
        <f t="shared" si="2"/>
        <v>0.4</v>
      </c>
    </row>
    <row r="91" spans="2:5" ht="12.75">
      <c r="B91" s="200" t="s">
        <v>270</v>
      </c>
      <c r="C91" s="201">
        <v>0.002</v>
      </c>
      <c r="D91" s="84">
        <f>D84</f>
        <v>130</v>
      </c>
      <c r="E91" s="203">
        <f t="shared" si="2"/>
        <v>0.26</v>
      </c>
    </row>
    <row r="92" spans="2:5" ht="12.75">
      <c r="B92" s="200" t="s">
        <v>260</v>
      </c>
      <c r="C92" s="201">
        <v>1</v>
      </c>
      <c r="D92" s="84">
        <f>D85</f>
        <v>1</v>
      </c>
      <c r="E92" s="203">
        <f t="shared" si="2"/>
        <v>1</v>
      </c>
    </row>
    <row r="93" ht="12.75"/>
    <row r="94" spans="1:86" s="46" customFormat="1" ht="12" customHeight="1">
      <c r="A94" s="151"/>
      <c r="B94" s="46" t="s">
        <v>91</v>
      </c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</row>
    <row r="95" ht="12.75">
      <c r="B95" s="53" t="s">
        <v>203</v>
      </c>
    </row>
    <row r="96" ht="12.75">
      <c r="B96" s="53"/>
    </row>
    <row r="97" spans="1:2" ht="17.25" customHeight="1">
      <c r="A97" s="58" t="s">
        <v>207</v>
      </c>
      <c r="B97" s="63" t="s">
        <v>336</v>
      </c>
    </row>
    <row r="98" spans="2:5" ht="25.5">
      <c r="B98" s="207" t="s">
        <v>84</v>
      </c>
      <c r="C98" s="207" t="s">
        <v>85</v>
      </c>
      <c r="D98" s="207" t="s">
        <v>277</v>
      </c>
      <c r="E98" s="60" t="s">
        <v>89</v>
      </c>
    </row>
    <row r="99" spans="2:5" ht="12.75">
      <c r="B99" s="79" t="s">
        <v>278</v>
      </c>
      <c r="C99" s="197">
        <v>150000</v>
      </c>
      <c r="D99" s="84">
        <v>2</v>
      </c>
      <c r="E99" s="208">
        <f>C99*D99/1000</f>
        <v>300</v>
      </c>
    </row>
    <row r="100" spans="2:5" ht="12.75">
      <c r="B100" s="79" t="s">
        <v>279</v>
      </c>
      <c r="C100" s="197">
        <v>50000</v>
      </c>
      <c r="D100" s="84">
        <v>3</v>
      </c>
      <c r="E100" s="208">
        <f aca="true" t="shared" si="3" ref="E100:E117">C100*D100/1000</f>
        <v>150</v>
      </c>
    </row>
    <row r="101" spans="2:5" ht="12.75">
      <c r="B101" s="79" t="s">
        <v>280</v>
      </c>
      <c r="C101" s="197">
        <v>30000</v>
      </c>
      <c r="D101" s="84">
        <v>2</v>
      </c>
      <c r="E101" s="208">
        <f t="shared" si="3"/>
        <v>60</v>
      </c>
    </row>
    <row r="102" spans="2:5" ht="12.75">
      <c r="B102" s="79" t="s">
        <v>281</v>
      </c>
      <c r="C102" s="197">
        <v>100000</v>
      </c>
      <c r="D102" s="84">
        <v>3</v>
      </c>
      <c r="E102" s="208">
        <f t="shared" si="3"/>
        <v>300</v>
      </c>
    </row>
    <row r="103" spans="2:5" ht="12.75">
      <c r="B103" s="79" t="s">
        <v>282</v>
      </c>
      <c r="C103" s="197">
        <v>60000</v>
      </c>
      <c r="D103" s="84">
        <v>1</v>
      </c>
      <c r="E103" s="208">
        <f t="shared" si="3"/>
        <v>60</v>
      </c>
    </row>
    <row r="104" spans="2:5" ht="25.5">
      <c r="B104" s="79" t="s">
        <v>283</v>
      </c>
      <c r="C104" s="197">
        <v>47000</v>
      </c>
      <c r="D104" s="84">
        <v>2</v>
      </c>
      <c r="E104" s="208">
        <f t="shared" si="3"/>
        <v>94</v>
      </c>
    </row>
    <row r="105" spans="2:5" ht="12.75">
      <c r="B105" s="79" t="s">
        <v>284</v>
      </c>
      <c r="C105" s="197">
        <v>20000</v>
      </c>
      <c r="D105" s="84">
        <v>1</v>
      </c>
      <c r="E105" s="208">
        <f t="shared" si="3"/>
        <v>20</v>
      </c>
    </row>
    <row r="106" spans="2:5" ht="12.75">
      <c r="B106" s="79" t="s">
        <v>285</v>
      </c>
      <c r="C106" s="197">
        <v>35000</v>
      </c>
      <c r="D106" s="84">
        <v>4</v>
      </c>
      <c r="E106" s="208">
        <f t="shared" si="3"/>
        <v>140</v>
      </c>
    </row>
    <row r="107" spans="2:5" ht="12.75">
      <c r="B107" s="79" t="s">
        <v>286</v>
      </c>
      <c r="C107" s="197">
        <v>47000</v>
      </c>
      <c r="D107" s="84">
        <v>1</v>
      </c>
      <c r="E107" s="208">
        <f t="shared" si="3"/>
        <v>47</v>
      </c>
    </row>
    <row r="108" spans="2:5" ht="25.5">
      <c r="B108" s="79" t="s">
        <v>287</v>
      </c>
      <c r="C108" s="197">
        <v>150000</v>
      </c>
      <c r="D108" s="84">
        <v>1</v>
      </c>
      <c r="E108" s="208">
        <f t="shared" si="3"/>
        <v>150</v>
      </c>
    </row>
    <row r="109" spans="2:5" ht="12.75">
      <c r="B109" s="79" t="s">
        <v>288</v>
      </c>
      <c r="C109" s="197">
        <v>75000</v>
      </c>
      <c r="D109" s="84">
        <v>2</v>
      </c>
      <c r="E109" s="208">
        <f t="shared" si="3"/>
        <v>150</v>
      </c>
    </row>
    <row r="110" spans="2:5" ht="12.75">
      <c r="B110" s="79" t="s">
        <v>289</v>
      </c>
      <c r="C110" s="197">
        <v>30000</v>
      </c>
      <c r="D110" s="84">
        <v>1</v>
      </c>
      <c r="E110" s="208">
        <f t="shared" si="3"/>
        <v>30</v>
      </c>
    </row>
    <row r="111" spans="2:5" ht="12.75">
      <c r="B111" s="79" t="s">
        <v>290</v>
      </c>
      <c r="C111" s="197">
        <v>67000</v>
      </c>
      <c r="D111" s="84">
        <v>1</v>
      </c>
      <c r="E111" s="208">
        <f t="shared" si="3"/>
        <v>67</v>
      </c>
    </row>
    <row r="112" spans="2:5" ht="12.75">
      <c r="B112" s="79" t="s">
        <v>291</v>
      </c>
      <c r="C112" s="197">
        <v>120000</v>
      </c>
      <c r="D112" s="84">
        <v>1</v>
      </c>
      <c r="E112" s="208">
        <f t="shared" si="3"/>
        <v>120</v>
      </c>
    </row>
    <row r="113" spans="2:5" ht="12.75">
      <c r="B113" s="79" t="s">
        <v>292</v>
      </c>
      <c r="C113" s="197">
        <v>20000</v>
      </c>
      <c r="D113" s="84">
        <v>3</v>
      </c>
      <c r="E113" s="208">
        <f t="shared" si="3"/>
        <v>60</v>
      </c>
    </row>
    <row r="114" spans="2:5" ht="12.75">
      <c r="B114" s="79" t="s">
        <v>293</v>
      </c>
      <c r="C114" s="197">
        <v>15000</v>
      </c>
      <c r="D114" s="84">
        <v>5</v>
      </c>
      <c r="E114" s="208">
        <f t="shared" si="3"/>
        <v>75</v>
      </c>
    </row>
    <row r="115" spans="2:5" ht="12.75">
      <c r="B115" s="79" t="s">
        <v>294</v>
      </c>
      <c r="C115" s="197">
        <v>12000</v>
      </c>
      <c r="D115" s="84">
        <v>3</v>
      </c>
      <c r="E115" s="208">
        <f t="shared" si="3"/>
        <v>36</v>
      </c>
    </row>
    <row r="116" spans="2:5" ht="12.75">
      <c r="B116" s="79" t="s">
        <v>295</v>
      </c>
      <c r="C116" s="197">
        <v>500</v>
      </c>
      <c r="D116" s="84">
        <v>300</v>
      </c>
      <c r="E116" s="208">
        <f t="shared" si="3"/>
        <v>150</v>
      </c>
    </row>
    <row r="117" spans="2:5" ht="12.75">
      <c r="B117" s="79" t="s">
        <v>296</v>
      </c>
      <c r="C117" s="197">
        <v>100000</v>
      </c>
      <c r="D117" s="84">
        <v>1</v>
      </c>
      <c r="E117" s="208">
        <f t="shared" si="3"/>
        <v>100</v>
      </c>
    </row>
    <row r="118" spans="2:5" ht="12.75">
      <c r="B118" s="288" t="s">
        <v>87</v>
      </c>
      <c r="C118" s="289"/>
      <c r="D118" s="290"/>
      <c r="E118" s="209">
        <v>334.066</v>
      </c>
    </row>
    <row r="119" spans="2:5" ht="12.75">
      <c r="B119" s="288" t="s">
        <v>88</v>
      </c>
      <c r="C119" s="289"/>
      <c r="D119" s="290"/>
      <c r="E119" s="210">
        <v>1.3</v>
      </c>
    </row>
    <row r="120" spans="2:5" ht="12.75">
      <c r="B120" s="288" t="s">
        <v>90</v>
      </c>
      <c r="C120" s="289"/>
      <c r="D120" s="290"/>
      <c r="E120" s="66">
        <f>E118*E119</f>
        <v>434.2858</v>
      </c>
    </row>
    <row r="121" spans="2:5" ht="12.75">
      <c r="B121" s="287" t="s">
        <v>86</v>
      </c>
      <c r="C121" s="287"/>
      <c r="D121" s="287"/>
      <c r="E121" s="211">
        <f>SUM(E108:E117,E120)</f>
        <v>1372.2858</v>
      </c>
    </row>
    <row r="122" ht="12.75"/>
    <row r="123" spans="1:86" s="46" customFormat="1" ht="12" customHeight="1">
      <c r="A123" s="151"/>
      <c r="B123" s="46" t="s">
        <v>92</v>
      </c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</row>
    <row r="124" ht="12.75">
      <c r="B124" s="53" t="s">
        <v>202</v>
      </c>
    </row>
    <row r="125" ht="12.75">
      <c r="B125" s="53"/>
    </row>
    <row r="126" spans="1:5" ht="15">
      <c r="A126" s="58" t="s">
        <v>228</v>
      </c>
      <c r="B126" s="63" t="s">
        <v>172</v>
      </c>
      <c r="C126" s="64"/>
      <c r="D126" s="64"/>
      <c r="E126" s="64"/>
    </row>
    <row r="127" spans="2:5" ht="12.75">
      <c r="B127" s="119" t="s">
        <v>38</v>
      </c>
      <c r="C127" s="119" t="s">
        <v>4</v>
      </c>
      <c r="D127" s="119" t="s">
        <v>39</v>
      </c>
      <c r="E127" s="119" t="s">
        <v>37</v>
      </c>
    </row>
    <row r="128" spans="2:5" ht="12.75">
      <c r="B128" s="121">
        <v>0.25</v>
      </c>
      <c r="C128" s="121">
        <v>0.25</v>
      </c>
      <c r="D128" s="121">
        <f>C128</f>
        <v>0.25</v>
      </c>
      <c r="E128" s="121">
        <f>D128</f>
        <v>0.25</v>
      </c>
    </row>
    <row r="129" spans="2:5" ht="12.75">
      <c r="B129" s="127"/>
      <c r="C129" s="127"/>
      <c r="D129" s="127"/>
      <c r="E129" s="127"/>
    </row>
    <row r="130" spans="1:2" s="64" customFormat="1" ht="15">
      <c r="A130" s="120" t="s">
        <v>229</v>
      </c>
      <c r="B130" s="63" t="s">
        <v>339</v>
      </c>
    </row>
    <row r="131" spans="1:5" s="64" customFormat="1" ht="12.75">
      <c r="A131" s="120"/>
      <c r="B131" s="119" t="s">
        <v>167</v>
      </c>
      <c r="C131" s="119" t="s">
        <v>168</v>
      </c>
      <c r="D131" s="119" t="s">
        <v>169</v>
      </c>
      <c r="E131" s="119" t="s">
        <v>170</v>
      </c>
    </row>
    <row r="132" spans="2:5" s="120" customFormat="1" ht="12.75">
      <c r="B132" s="121">
        <v>0.05</v>
      </c>
      <c r="C132" s="121">
        <f>B132</f>
        <v>0.05</v>
      </c>
      <c r="D132" s="121">
        <f>C132</f>
        <v>0.05</v>
      </c>
      <c r="E132" s="121">
        <f>D132</f>
        <v>0.05</v>
      </c>
    </row>
    <row r="133" ht="12.75">
      <c r="B133" s="53"/>
    </row>
    <row r="134" spans="1:2" ht="17.25" customHeight="1">
      <c r="A134" s="58" t="s">
        <v>230</v>
      </c>
      <c r="B134" s="69" t="s">
        <v>337</v>
      </c>
    </row>
    <row r="135" spans="1:15" s="64" customFormat="1" ht="59.25" customHeight="1">
      <c r="A135" s="120"/>
      <c r="B135" s="60" t="s">
        <v>2</v>
      </c>
      <c r="C135" s="70" t="s">
        <v>12</v>
      </c>
      <c r="D135" s="70" t="s">
        <v>13</v>
      </c>
      <c r="E135" s="70" t="s">
        <v>14</v>
      </c>
      <c r="F135" s="70" t="s">
        <v>15</v>
      </c>
      <c r="G135" s="70" t="s">
        <v>16</v>
      </c>
      <c r="H135" s="70" t="s">
        <v>17</v>
      </c>
      <c r="I135" s="70" t="s">
        <v>18</v>
      </c>
      <c r="J135" s="70" t="s">
        <v>19</v>
      </c>
      <c r="K135" s="70" t="s">
        <v>20</v>
      </c>
      <c r="L135" s="70" t="s">
        <v>21</v>
      </c>
      <c r="M135" s="70" t="s">
        <v>22</v>
      </c>
      <c r="N135" s="70" t="s">
        <v>23</v>
      </c>
      <c r="O135" s="71" t="s">
        <v>24</v>
      </c>
    </row>
    <row r="136" spans="1:15" s="64" customFormat="1" ht="25.5">
      <c r="A136" s="120"/>
      <c r="B136" s="61" t="s">
        <v>93</v>
      </c>
      <c r="C136" s="62">
        <v>31</v>
      </c>
      <c r="D136" s="62">
        <v>28</v>
      </c>
      <c r="E136" s="62">
        <v>31</v>
      </c>
      <c r="F136" s="62">
        <v>30</v>
      </c>
      <c r="G136" s="62">
        <v>31</v>
      </c>
      <c r="H136" s="62">
        <v>30</v>
      </c>
      <c r="I136" s="62">
        <v>31</v>
      </c>
      <c r="J136" s="62">
        <v>31</v>
      </c>
      <c r="K136" s="62">
        <v>30</v>
      </c>
      <c r="L136" s="62">
        <v>31</v>
      </c>
      <c r="M136" s="62">
        <v>30</v>
      </c>
      <c r="N136" s="62">
        <v>31</v>
      </c>
      <c r="O136" s="68">
        <f>SUM(C136:N136)</f>
        <v>365</v>
      </c>
    </row>
    <row r="137" spans="1:15" s="64" customFormat="1" ht="25.5">
      <c r="A137" s="120"/>
      <c r="B137" s="61" t="s">
        <v>94</v>
      </c>
      <c r="C137" s="62">
        <v>20</v>
      </c>
      <c r="D137" s="62">
        <v>23</v>
      </c>
      <c r="E137" s="62">
        <v>25</v>
      </c>
      <c r="F137" s="62">
        <v>26</v>
      </c>
      <c r="G137" s="62">
        <v>24</v>
      </c>
      <c r="H137" s="62">
        <v>24</v>
      </c>
      <c r="I137" s="62">
        <v>27</v>
      </c>
      <c r="J137" s="62">
        <v>27</v>
      </c>
      <c r="K137" s="62">
        <v>25</v>
      </c>
      <c r="L137" s="62">
        <v>27</v>
      </c>
      <c r="M137" s="62">
        <v>25</v>
      </c>
      <c r="N137" s="62">
        <v>26</v>
      </c>
      <c r="O137" s="68">
        <f>SUM(C137:N137)</f>
        <v>299</v>
      </c>
    </row>
    <row r="138" ht="12.75"/>
    <row r="139" spans="1:2" ht="15">
      <c r="A139" s="58" t="s">
        <v>231</v>
      </c>
      <c r="B139" s="69" t="s">
        <v>338</v>
      </c>
    </row>
    <row r="140" spans="2:7" ht="37.5" customHeight="1">
      <c r="B140" s="266" t="s">
        <v>95</v>
      </c>
      <c r="C140" s="266" t="s">
        <v>96</v>
      </c>
      <c r="D140" s="266" t="s">
        <v>330</v>
      </c>
      <c r="E140" s="266"/>
      <c r="F140" s="266" t="s">
        <v>97</v>
      </c>
      <c r="G140" s="266"/>
    </row>
    <row r="141" spans="2:7" ht="12.75">
      <c r="B141" s="266"/>
      <c r="C141" s="266"/>
      <c r="D141" s="72" t="s">
        <v>301</v>
      </c>
      <c r="E141" s="72" t="s">
        <v>99</v>
      </c>
      <c r="F141" s="72" t="s">
        <v>98</v>
      </c>
      <c r="G141" s="72" t="s">
        <v>99</v>
      </c>
    </row>
    <row r="142" spans="2:7" ht="12.75">
      <c r="B142" s="212" t="s">
        <v>255</v>
      </c>
      <c r="C142" s="201">
        <v>500</v>
      </c>
      <c r="D142" s="201">
        <v>100</v>
      </c>
      <c r="E142" s="214">
        <f aca="true" t="shared" si="4" ref="E142:E147">D142*$O$137</f>
        <v>29900</v>
      </c>
      <c r="F142" s="214">
        <f aca="true" t="shared" si="5" ref="F142:F147">C142*D142/1000</f>
        <v>50</v>
      </c>
      <c r="G142" s="214">
        <f aca="true" t="shared" si="6" ref="G142:G147">E142*C142/1000</f>
        <v>14950</v>
      </c>
    </row>
    <row r="143" spans="2:7" ht="12.75">
      <c r="B143" s="212" t="s">
        <v>266</v>
      </c>
      <c r="C143" s="201">
        <v>450</v>
      </c>
      <c r="D143" s="201">
        <v>25</v>
      </c>
      <c r="E143" s="214">
        <f t="shared" si="4"/>
        <v>7475</v>
      </c>
      <c r="F143" s="214">
        <f t="shared" si="5"/>
        <v>11.25</v>
      </c>
      <c r="G143" s="214">
        <f t="shared" si="6"/>
        <v>3363.75</v>
      </c>
    </row>
    <row r="144" spans="2:7" ht="12.75">
      <c r="B144" s="212" t="s">
        <v>297</v>
      </c>
      <c r="C144" s="201">
        <v>350</v>
      </c>
      <c r="D144" s="201">
        <v>25</v>
      </c>
      <c r="E144" s="214">
        <f t="shared" si="4"/>
        <v>7475</v>
      </c>
      <c r="F144" s="214">
        <f t="shared" si="5"/>
        <v>8.75</v>
      </c>
      <c r="G144" s="214">
        <f t="shared" si="6"/>
        <v>2616.25</v>
      </c>
    </row>
    <row r="145" spans="2:7" ht="12.75">
      <c r="B145" s="212" t="s">
        <v>298</v>
      </c>
      <c r="C145" s="201">
        <v>300</v>
      </c>
      <c r="D145" s="201">
        <v>25</v>
      </c>
      <c r="E145" s="214">
        <f t="shared" si="4"/>
        <v>7475</v>
      </c>
      <c r="F145" s="214">
        <f t="shared" si="5"/>
        <v>7.5</v>
      </c>
      <c r="G145" s="214">
        <f t="shared" si="6"/>
        <v>2242.5</v>
      </c>
    </row>
    <row r="146" spans="2:7" ht="12.75">
      <c r="B146" s="212" t="s">
        <v>299</v>
      </c>
      <c r="C146" s="201">
        <v>500</v>
      </c>
      <c r="D146" s="201">
        <v>25</v>
      </c>
      <c r="E146" s="214">
        <f t="shared" si="4"/>
        <v>7475</v>
      </c>
      <c r="F146" s="214">
        <f t="shared" si="5"/>
        <v>12.5</v>
      </c>
      <c r="G146" s="214">
        <f t="shared" si="6"/>
        <v>3737.5</v>
      </c>
    </row>
    <row r="147" spans="2:7" ht="12.75">
      <c r="B147" s="212" t="s">
        <v>300</v>
      </c>
      <c r="C147" s="201">
        <v>200</v>
      </c>
      <c r="D147" s="213">
        <f>SUM(D142:D143)*0.25</f>
        <v>31.25</v>
      </c>
      <c r="E147" s="214">
        <f t="shared" si="4"/>
        <v>9343.75</v>
      </c>
      <c r="F147" s="214">
        <f t="shared" si="5"/>
        <v>6.25</v>
      </c>
      <c r="G147" s="214">
        <f t="shared" si="6"/>
        <v>1868.75</v>
      </c>
    </row>
    <row r="148" spans="2:7" ht="12.75">
      <c r="B148" s="73" t="s">
        <v>11</v>
      </c>
      <c r="C148" s="201" t="s">
        <v>36</v>
      </c>
      <c r="D148" s="214">
        <f>SUM(D142:D147)</f>
        <v>231.25</v>
      </c>
      <c r="E148" s="214">
        <f>SUM(E142:E147)</f>
        <v>69143.75</v>
      </c>
      <c r="F148" s="214">
        <f>SUM(F142:F147)</f>
        <v>96.25</v>
      </c>
      <c r="G148" s="214">
        <f>SUM(G142:G147)</f>
        <v>28778.75</v>
      </c>
    </row>
    <row r="149" spans="2:7" ht="15">
      <c r="B149" s="75"/>
      <c r="C149" s="76"/>
      <c r="D149" s="86"/>
      <c r="E149" s="86"/>
      <c r="F149" s="86"/>
      <c r="G149" s="86"/>
    </row>
    <row r="150" spans="1:86" s="46" customFormat="1" ht="12" customHeight="1">
      <c r="A150" s="151"/>
      <c r="B150" s="46" t="s">
        <v>100</v>
      </c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H150" s="94"/>
    </row>
    <row r="151" ht="12.75">
      <c r="B151" s="53" t="s">
        <v>201</v>
      </c>
    </row>
    <row r="152" ht="12.75">
      <c r="B152" s="53"/>
    </row>
    <row r="153" spans="1:2" ht="17.25" customHeight="1">
      <c r="A153" s="58" t="s">
        <v>232</v>
      </c>
      <c r="B153" s="63" t="s">
        <v>340</v>
      </c>
    </row>
    <row r="154" spans="1:7" s="64" customFormat="1" ht="36.75" customHeight="1">
      <c r="A154" s="120"/>
      <c r="B154" s="266" t="s">
        <v>95</v>
      </c>
      <c r="C154" s="266" t="s">
        <v>101</v>
      </c>
      <c r="D154" s="266" t="s">
        <v>331</v>
      </c>
      <c r="E154" s="266"/>
      <c r="F154" s="266" t="s">
        <v>102</v>
      </c>
      <c r="G154" s="266"/>
    </row>
    <row r="155" spans="1:7" s="64" customFormat="1" ht="12.75">
      <c r="A155" s="120"/>
      <c r="B155" s="266"/>
      <c r="C155" s="266"/>
      <c r="D155" s="72" t="str">
        <f>D141</f>
        <v>сутки</v>
      </c>
      <c r="E155" s="72" t="s">
        <v>99</v>
      </c>
      <c r="F155" s="72" t="s">
        <v>98</v>
      </c>
      <c r="G155" s="72" t="s">
        <v>99</v>
      </c>
    </row>
    <row r="156" spans="1:7" s="64" customFormat="1" ht="12.75">
      <c r="A156" s="120"/>
      <c r="B156" s="73" t="str">
        <f>B142</f>
        <v>Котлетные изделия</v>
      </c>
      <c r="C156" s="215">
        <f>E59</f>
        <v>299.035</v>
      </c>
      <c r="D156" s="216">
        <f>D142</f>
        <v>100</v>
      </c>
      <c r="E156" s="214">
        <f>E142</f>
        <v>29900</v>
      </c>
      <c r="F156" s="214">
        <f>D156*C156/1000</f>
        <v>29.903500000000005</v>
      </c>
      <c r="G156" s="214">
        <f>E156*C156/1000</f>
        <v>8941.1465</v>
      </c>
    </row>
    <row r="157" spans="1:7" s="64" customFormat="1" ht="25.5">
      <c r="A157" s="120"/>
      <c r="B157" s="73" t="str">
        <f>B143</f>
        <v>Голубцы / перец фаршированный</v>
      </c>
      <c r="C157" s="215">
        <f>E65</f>
        <v>208.2025</v>
      </c>
      <c r="D157" s="216">
        <f aca="true" t="shared" si="7" ref="D157:E160">D143</f>
        <v>25</v>
      </c>
      <c r="E157" s="214">
        <f t="shared" si="7"/>
        <v>7475</v>
      </c>
      <c r="F157" s="214">
        <f>D157*C157/1000</f>
        <v>5.2050625</v>
      </c>
      <c r="G157" s="214">
        <f>E157*C157/1000</f>
        <v>1556.3136875</v>
      </c>
    </row>
    <row r="158" spans="1:7" s="64" customFormat="1" ht="25.5">
      <c r="A158" s="120"/>
      <c r="B158" s="73" t="str">
        <f>B144</f>
        <v>Пельмени и пельменные изделия</v>
      </c>
      <c r="C158" s="215">
        <f>E72</f>
        <v>207.87</v>
      </c>
      <c r="D158" s="216">
        <f t="shared" si="7"/>
        <v>25</v>
      </c>
      <c r="E158" s="214">
        <f t="shared" si="7"/>
        <v>7475</v>
      </c>
      <c r="F158" s="214">
        <f>D158*C158/1000</f>
        <v>5.19675</v>
      </c>
      <c r="G158" s="214">
        <f>E158*C158/1000</f>
        <v>1553.82825</v>
      </c>
    </row>
    <row r="159" spans="1:7" s="64" customFormat="1" ht="12.75">
      <c r="A159" s="120"/>
      <c r="B159" s="73" t="str">
        <f>B145</f>
        <v>Вареники </v>
      </c>
      <c r="C159" s="215">
        <f>E80</f>
        <v>45.519999999999996</v>
      </c>
      <c r="D159" s="216">
        <f t="shared" si="7"/>
        <v>25</v>
      </c>
      <c r="E159" s="214">
        <f t="shared" si="7"/>
        <v>7475</v>
      </c>
      <c r="F159" s="214">
        <f>D159*C159/1000</f>
        <v>1.138</v>
      </c>
      <c r="G159" s="214">
        <f>E159*C159/1000</f>
        <v>340.26199999999994</v>
      </c>
    </row>
    <row r="160" spans="1:7" s="64" customFormat="1" ht="12.75">
      <c r="A160" s="120"/>
      <c r="B160" s="73" t="str">
        <f>B146</f>
        <v>Блинчики фаршированные</v>
      </c>
      <c r="C160" s="215">
        <f>E86</f>
        <v>45.919999999999995</v>
      </c>
      <c r="D160" s="216">
        <f t="shared" si="7"/>
        <v>25</v>
      </c>
      <c r="E160" s="214">
        <f t="shared" si="7"/>
        <v>7475</v>
      </c>
      <c r="F160" s="214">
        <f>D160*C160/1000</f>
        <v>1.1479999999999997</v>
      </c>
      <c r="G160" s="214">
        <f>E160*C160/1000</f>
        <v>343.25199999999995</v>
      </c>
    </row>
    <row r="161" spans="1:7" s="64" customFormat="1" ht="12.75">
      <c r="A161" s="120"/>
      <c r="B161" s="73" t="s">
        <v>11</v>
      </c>
      <c r="C161" s="215" t="s">
        <v>36</v>
      </c>
      <c r="D161" s="214">
        <f>SUM(D156:D160)</f>
        <v>200</v>
      </c>
      <c r="E161" s="214">
        <f>SUM(E156:E160)</f>
        <v>59800</v>
      </c>
      <c r="F161" s="214">
        <f>SUM(F156:F160)</f>
        <v>42.5913125</v>
      </c>
      <c r="G161" s="214">
        <f>SUM(G156:G160)</f>
        <v>12734.802437500002</v>
      </c>
    </row>
    <row r="162" ht="12.75"/>
    <row r="163" spans="1:2" ht="15">
      <c r="A163" s="58" t="s">
        <v>236</v>
      </c>
      <c r="B163" s="63" t="s">
        <v>341</v>
      </c>
    </row>
    <row r="164" spans="2:6" ht="51">
      <c r="B164" s="72" t="s">
        <v>72</v>
      </c>
      <c r="C164" s="72" t="s">
        <v>73</v>
      </c>
      <c r="D164" s="72" t="s">
        <v>74</v>
      </c>
      <c r="E164" s="72" t="s">
        <v>103</v>
      </c>
      <c r="F164" s="72" t="s">
        <v>104</v>
      </c>
    </row>
    <row r="165" spans="2:6" ht="12.75">
      <c r="B165" s="73" t="str">
        <f>B46</f>
        <v>Руководитель</v>
      </c>
      <c r="C165" s="249">
        <f>C46</f>
        <v>50000</v>
      </c>
      <c r="D165" s="249">
        <f>D46</f>
        <v>1</v>
      </c>
      <c r="E165" s="250">
        <f aca="true" t="shared" si="8" ref="E165:E170">C165*D165/1000*12</f>
        <v>600</v>
      </c>
      <c r="F165" s="251">
        <f>E165*1.302</f>
        <v>781.2</v>
      </c>
    </row>
    <row r="166" spans="2:6" ht="12.75">
      <c r="B166" s="73" t="str">
        <f>B47</f>
        <v>Бухгалтер (аутсорсинг)</v>
      </c>
      <c r="C166" s="249">
        <f aca="true" t="shared" si="9" ref="C166:D170">C47</f>
        <v>3000</v>
      </c>
      <c r="D166" s="249">
        <f t="shared" si="9"/>
        <v>1</v>
      </c>
      <c r="E166" s="250">
        <f t="shared" si="8"/>
        <v>36</v>
      </c>
      <c r="F166" s="251">
        <f>E166*1</f>
        <v>36</v>
      </c>
    </row>
    <row r="167" spans="2:6" ht="25.5">
      <c r="B167" s="73" t="str">
        <f>B48</f>
        <v>Технолог-управляющий производством</v>
      </c>
      <c r="C167" s="249">
        <f t="shared" si="9"/>
        <v>45000</v>
      </c>
      <c r="D167" s="249">
        <f t="shared" si="9"/>
        <v>1</v>
      </c>
      <c r="E167" s="250">
        <f t="shared" si="8"/>
        <v>540</v>
      </c>
      <c r="F167" s="251">
        <f>E167*1.302</f>
        <v>703.08</v>
      </c>
    </row>
    <row r="168" spans="2:6" ht="25.5">
      <c r="B168" s="73" t="str">
        <f>B49</f>
        <v>Специалист по производству продукции</v>
      </c>
      <c r="C168" s="249">
        <f t="shared" si="9"/>
        <v>40000</v>
      </c>
      <c r="D168" s="249">
        <f t="shared" si="9"/>
        <v>4</v>
      </c>
      <c r="E168" s="250">
        <f t="shared" si="8"/>
        <v>1920</v>
      </c>
      <c r="F168" s="251">
        <f>E168*1.302</f>
        <v>2499.84</v>
      </c>
    </row>
    <row r="169" spans="2:6" ht="12.75">
      <c r="B169" s="73" t="str">
        <f>B50</f>
        <v>Разнорабочий</v>
      </c>
      <c r="C169" s="249">
        <f t="shared" si="9"/>
        <v>30000</v>
      </c>
      <c r="D169" s="249">
        <f t="shared" si="9"/>
        <v>1</v>
      </c>
      <c r="E169" s="250">
        <f t="shared" si="8"/>
        <v>360</v>
      </c>
      <c r="F169" s="251">
        <f>E169*1.302</f>
        <v>468.72</v>
      </c>
    </row>
    <row r="170" spans="2:6" ht="12.75">
      <c r="B170" s="73" t="str">
        <f>B51</f>
        <v>Водитель</v>
      </c>
      <c r="C170" s="249">
        <f t="shared" si="9"/>
        <v>35000</v>
      </c>
      <c r="D170" s="249">
        <f t="shared" si="9"/>
        <v>1</v>
      </c>
      <c r="E170" s="250">
        <f t="shared" si="8"/>
        <v>420</v>
      </c>
      <c r="F170" s="251">
        <f>E170*1.302</f>
        <v>546.84</v>
      </c>
    </row>
    <row r="171" spans="2:6" ht="12.75">
      <c r="B171" s="73" t="s">
        <v>77</v>
      </c>
      <c r="C171" s="250" t="s">
        <v>30</v>
      </c>
      <c r="D171" s="249">
        <f>SUM(D165:D170)</f>
        <v>9</v>
      </c>
      <c r="E171" s="249">
        <f>SUM(E165:E170)</f>
        <v>3876</v>
      </c>
      <c r="F171" s="249">
        <f>SUM(F165:F170)</f>
        <v>5035.68</v>
      </c>
    </row>
    <row r="172" ht="12.75"/>
    <row r="173" spans="1:2" ht="12.75">
      <c r="A173" s="58" t="s">
        <v>237</v>
      </c>
      <c r="B173" s="64" t="s">
        <v>342</v>
      </c>
    </row>
    <row r="174" spans="2:8" ht="38.25">
      <c r="B174" s="188" t="s">
        <v>302</v>
      </c>
      <c r="C174" s="188" t="s">
        <v>303</v>
      </c>
      <c r="D174" s="188" t="s">
        <v>304</v>
      </c>
      <c r="E174" s="188" t="s">
        <v>305</v>
      </c>
      <c r="F174" s="188" t="s">
        <v>306</v>
      </c>
      <c r="G174" s="188" t="s">
        <v>106</v>
      </c>
      <c r="H174" s="188" t="s">
        <v>107</v>
      </c>
    </row>
    <row r="175" spans="2:8" ht="12.75">
      <c r="B175" s="259" t="s">
        <v>308</v>
      </c>
      <c r="C175" s="260"/>
      <c r="D175" s="260"/>
      <c r="E175" s="261"/>
      <c r="F175" s="221">
        <f>SUM(F176:F190)</f>
        <v>50715.184</v>
      </c>
      <c r="G175" s="220">
        <v>4.36</v>
      </c>
      <c r="H175" s="221">
        <f>SUM(H176:H190)</f>
        <v>221.11820224000004</v>
      </c>
    </row>
    <row r="176" spans="2:8" ht="12.75">
      <c r="B176" s="79" t="s">
        <v>278</v>
      </c>
      <c r="C176" s="220">
        <v>1.5</v>
      </c>
      <c r="D176" s="220">
        <v>8</v>
      </c>
      <c r="E176" s="220">
        <v>1</v>
      </c>
      <c r="F176" s="221">
        <f>C176*D176*E176*$O$137</f>
        <v>3588</v>
      </c>
      <c r="G176" s="222">
        <f>G175</f>
        <v>4.36</v>
      </c>
      <c r="H176" s="223">
        <f>F176*G176/1000</f>
        <v>15.64368</v>
      </c>
    </row>
    <row r="177" spans="2:8" ht="12.75">
      <c r="B177" s="79" t="s">
        <v>279</v>
      </c>
      <c r="C177" s="220">
        <v>0.3</v>
      </c>
      <c r="D177" s="220">
        <v>24</v>
      </c>
      <c r="E177" s="220">
        <v>1</v>
      </c>
      <c r="F177" s="221">
        <f aca="true" t="shared" si="10" ref="F177:F190">C177*D177*E177*$O$137</f>
        <v>2152.7999999999997</v>
      </c>
      <c r="G177" s="222">
        <f>G176</f>
        <v>4.36</v>
      </c>
      <c r="H177" s="223">
        <f aca="true" t="shared" si="11" ref="H177:H190">F177*G177/1000</f>
        <v>9.386207999999998</v>
      </c>
    </row>
    <row r="178" spans="2:8" ht="12.75">
      <c r="B178" s="79" t="s">
        <v>280</v>
      </c>
      <c r="C178" s="220">
        <v>0.19</v>
      </c>
      <c r="D178" s="220">
        <v>24</v>
      </c>
      <c r="E178" s="220">
        <v>1</v>
      </c>
      <c r="F178" s="221">
        <f t="shared" si="10"/>
        <v>1363.44</v>
      </c>
      <c r="G178" s="222">
        <f aca="true" t="shared" si="12" ref="G178:G190">G177</f>
        <v>4.36</v>
      </c>
      <c r="H178" s="223">
        <f t="shared" si="11"/>
        <v>5.944598400000001</v>
      </c>
    </row>
    <row r="179" spans="2:8" ht="12.75">
      <c r="B179" s="79" t="s">
        <v>281</v>
      </c>
      <c r="C179" s="220">
        <v>2</v>
      </c>
      <c r="D179" s="220">
        <v>24</v>
      </c>
      <c r="E179" s="220">
        <v>1</v>
      </c>
      <c r="F179" s="221">
        <f t="shared" si="10"/>
        <v>14352</v>
      </c>
      <c r="G179" s="222">
        <f t="shared" si="12"/>
        <v>4.36</v>
      </c>
      <c r="H179" s="223">
        <f t="shared" si="11"/>
        <v>62.57472</v>
      </c>
    </row>
    <row r="180" spans="2:8" ht="12.75">
      <c r="B180" s="79" t="s">
        <v>282</v>
      </c>
      <c r="C180" s="220">
        <v>3.5</v>
      </c>
      <c r="D180" s="220">
        <v>8</v>
      </c>
      <c r="E180" s="220">
        <v>1</v>
      </c>
      <c r="F180" s="221">
        <f t="shared" si="10"/>
        <v>8372</v>
      </c>
      <c r="G180" s="222">
        <f t="shared" si="12"/>
        <v>4.36</v>
      </c>
      <c r="H180" s="223">
        <f t="shared" si="11"/>
        <v>36.501920000000005</v>
      </c>
    </row>
    <row r="181" spans="2:8" ht="25.5">
      <c r="B181" s="79" t="s">
        <v>283</v>
      </c>
      <c r="C181" s="220">
        <v>2.71</v>
      </c>
      <c r="D181" s="220">
        <v>8</v>
      </c>
      <c r="E181" s="220">
        <v>1</v>
      </c>
      <c r="F181" s="221">
        <f t="shared" si="10"/>
        <v>6482.32</v>
      </c>
      <c r="G181" s="222">
        <f t="shared" si="12"/>
        <v>4.36</v>
      </c>
      <c r="H181" s="223">
        <f t="shared" si="11"/>
        <v>28.2629152</v>
      </c>
    </row>
    <row r="182" spans="2:8" ht="12.75">
      <c r="B182" s="79" t="s">
        <v>284</v>
      </c>
      <c r="C182" s="220">
        <v>1.8</v>
      </c>
      <c r="D182" s="220">
        <v>8</v>
      </c>
      <c r="E182" s="220">
        <v>0.5</v>
      </c>
      <c r="F182" s="221">
        <f t="shared" si="10"/>
        <v>2152.8</v>
      </c>
      <c r="G182" s="222">
        <f t="shared" si="12"/>
        <v>4.36</v>
      </c>
      <c r="H182" s="223">
        <f t="shared" si="11"/>
        <v>9.386208000000002</v>
      </c>
    </row>
    <row r="183" spans="2:8" ht="12.75">
      <c r="B183" s="79" t="s">
        <v>285</v>
      </c>
      <c r="C183" s="220">
        <v>0.25</v>
      </c>
      <c r="D183" s="220">
        <v>8</v>
      </c>
      <c r="E183" s="220">
        <v>0.7</v>
      </c>
      <c r="F183" s="221">
        <f t="shared" si="10"/>
        <v>418.59999999999997</v>
      </c>
      <c r="G183" s="222">
        <f t="shared" si="12"/>
        <v>4.36</v>
      </c>
      <c r="H183" s="223">
        <f t="shared" si="11"/>
        <v>1.825096</v>
      </c>
    </row>
    <row r="184" spans="2:8" ht="12.75">
      <c r="B184" s="79" t="s">
        <v>286</v>
      </c>
      <c r="C184" s="220">
        <v>2.2</v>
      </c>
      <c r="D184" s="220">
        <v>8</v>
      </c>
      <c r="E184" s="220">
        <v>0.7</v>
      </c>
      <c r="F184" s="221">
        <f t="shared" si="10"/>
        <v>3683.6800000000003</v>
      </c>
      <c r="G184" s="222">
        <f t="shared" si="12"/>
        <v>4.36</v>
      </c>
      <c r="H184" s="223">
        <f t="shared" si="11"/>
        <v>16.0608448</v>
      </c>
    </row>
    <row r="185" spans="2:8" ht="12.75">
      <c r="B185" s="79" t="s">
        <v>307</v>
      </c>
      <c r="C185" s="220">
        <v>2</v>
      </c>
      <c r="D185" s="220">
        <v>8</v>
      </c>
      <c r="E185" s="220">
        <v>0.8</v>
      </c>
      <c r="F185" s="221">
        <f t="shared" si="10"/>
        <v>3827.2000000000003</v>
      </c>
      <c r="G185" s="222">
        <f t="shared" si="12"/>
        <v>4.36</v>
      </c>
      <c r="H185" s="223">
        <f t="shared" si="11"/>
        <v>16.686592000000005</v>
      </c>
    </row>
    <row r="186" spans="2:8" ht="12.75">
      <c r="B186" s="79" t="s">
        <v>288</v>
      </c>
      <c r="C186" s="220">
        <v>1.5</v>
      </c>
      <c r="D186" s="220">
        <v>8</v>
      </c>
      <c r="E186" s="220">
        <v>0.3</v>
      </c>
      <c r="F186" s="221">
        <f t="shared" si="10"/>
        <v>1076.3999999999999</v>
      </c>
      <c r="G186" s="222">
        <f t="shared" si="12"/>
        <v>4.36</v>
      </c>
      <c r="H186" s="223">
        <f t="shared" si="11"/>
        <v>4.693103999999999</v>
      </c>
    </row>
    <row r="187" spans="2:8" ht="12.75">
      <c r="B187" s="79" t="s">
        <v>289</v>
      </c>
      <c r="C187" s="220">
        <v>0.325</v>
      </c>
      <c r="D187" s="220">
        <v>8</v>
      </c>
      <c r="E187" s="220">
        <v>0.4</v>
      </c>
      <c r="F187" s="221">
        <f t="shared" si="10"/>
        <v>310.96000000000004</v>
      </c>
      <c r="G187" s="222">
        <f t="shared" si="12"/>
        <v>4.36</v>
      </c>
      <c r="H187" s="223">
        <f t="shared" si="11"/>
        <v>1.3557856000000001</v>
      </c>
    </row>
    <row r="188" spans="2:8" ht="12.75">
      <c r="B188" s="79" t="s">
        <v>290</v>
      </c>
      <c r="C188" s="220">
        <v>1.1</v>
      </c>
      <c r="D188" s="220">
        <v>8</v>
      </c>
      <c r="E188" s="220">
        <v>0.6</v>
      </c>
      <c r="F188" s="221">
        <f t="shared" si="10"/>
        <v>1578.72</v>
      </c>
      <c r="G188" s="222">
        <f t="shared" si="12"/>
        <v>4.36</v>
      </c>
      <c r="H188" s="223">
        <f t="shared" si="11"/>
        <v>6.8832192</v>
      </c>
    </row>
    <row r="189" spans="2:8" ht="12.75">
      <c r="B189" s="79" t="s">
        <v>291</v>
      </c>
      <c r="C189" s="220">
        <v>1.25</v>
      </c>
      <c r="D189" s="220">
        <v>8</v>
      </c>
      <c r="E189" s="220">
        <v>0.3</v>
      </c>
      <c r="F189" s="221">
        <f t="shared" si="10"/>
        <v>897</v>
      </c>
      <c r="G189" s="222">
        <f t="shared" si="12"/>
        <v>4.36</v>
      </c>
      <c r="H189" s="223">
        <f t="shared" si="11"/>
        <v>3.91092</v>
      </c>
    </row>
    <row r="190" spans="2:8" ht="12.75">
      <c r="B190" s="79" t="s">
        <v>292</v>
      </c>
      <c r="C190" s="220">
        <v>0.24</v>
      </c>
      <c r="D190" s="220">
        <v>8</v>
      </c>
      <c r="E190" s="220">
        <v>0.8</v>
      </c>
      <c r="F190" s="221">
        <f t="shared" si="10"/>
        <v>459.264</v>
      </c>
      <c r="G190" s="222">
        <f t="shared" si="12"/>
        <v>4.36</v>
      </c>
      <c r="H190" s="223">
        <f t="shared" si="11"/>
        <v>2.00239104</v>
      </c>
    </row>
    <row r="191" spans="2:8" ht="25.5">
      <c r="B191" s="79" t="s">
        <v>309</v>
      </c>
      <c r="C191" s="220" t="s">
        <v>310</v>
      </c>
      <c r="D191" s="220">
        <v>8</v>
      </c>
      <c r="E191" s="220">
        <v>1</v>
      </c>
      <c r="F191" s="221">
        <f>0.17*F207*$O$137</f>
        <v>6099.6</v>
      </c>
      <c r="G191" s="222">
        <f>G190</f>
        <v>4.36</v>
      </c>
      <c r="H191" s="223">
        <f>F191*G191/1000</f>
        <v>26.594256000000005</v>
      </c>
    </row>
    <row r="192" spans="2:8" ht="12.75">
      <c r="B192" s="265" t="s">
        <v>11</v>
      </c>
      <c r="C192" s="265"/>
      <c r="D192" s="265"/>
      <c r="E192" s="265"/>
      <c r="F192" s="221">
        <f>F191+F175</f>
        <v>56814.784</v>
      </c>
      <c r="G192" s="221" t="s">
        <v>36</v>
      </c>
      <c r="H192" s="223">
        <f>H191+H175</f>
        <v>247.71245824000005</v>
      </c>
    </row>
    <row r="193" ht="12.75">
      <c r="B193" s="64"/>
    </row>
    <row r="194" spans="1:2" ht="15">
      <c r="A194" s="58" t="s">
        <v>238</v>
      </c>
      <c r="B194" s="69" t="s">
        <v>343</v>
      </c>
    </row>
    <row r="195" spans="2:7" s="58" customFormat="1" ht="46.5" customHeight="1">
      <c r="B195" s="188" t="s">
        <v>360</v>
      </c>
      <c r="C195" s="188" t="s">
        <v>317</v>
      </c>
      <c r="D195" s="188" t="s">
        <v>311</v>
      </c>
      <c r="E195" s="188" t="s">
        <v>312</v>
      </c>
      <c r="F195" s="188" t="s">
        <v>313</v>
      </c>
      <c r="G195" s="188" t="s">
        <v>107</v>
      </c>
    </row>
    <row r="196" spans="2:7" ht="12.75">
      <c r="B196" s="79" t="s">
        <v>314</v>
      </c>
      <c r="C196" s="220">
        <v>6.7</v>
      </c>
      <c r="D196" s="226">
        <f>E148/1000</f>
        <v>69.14375</v>
      </c>
      <c r="E196" s="221">
        <f>C196*D196</f>
        <v>463.263125</v>
      </c>
      <c r="F196" s="203">
        <v>57.07</v>
      </c>
      <c r="G196" s="219">
        <f>E196*F196/1000</f>
        <v>26.43842654375</v>
      </c>
    </row>
    <row r="197" spans="2:7" ht="12.75">
      <c r="B197" s="79" t="s">
        <v>315</v>
      </c>
      <c r="C197" s="220">
        <v>3.1</v>
      </c>
      <c r="D197" s="226">
        <f>D196</f>
        <v>69.14375</v>
      </c>
      <c r="E197" s="221">
        <f>C197*D197</f>
        <v>214.34562499999998</v>
      </c>
      <c r="F197" s="203">
        <v>127.06</v>
      </c>
      <c r="G197" s="219">
        <f>E197*F197/1000</f>
        <v>27.2347551125</v>
      </c>
    </row>
    <row r="198" spans="2:7" ht="12.75">
      <c r="B198" s="79" t="s">
        <v>316</v>
      </c>
      <c r="C198" s="220">
        <v>9.8</v>
      </c>
      <c r="D198" s="226">
        <f>D197</f>
        <v>69.14375</v>
      </c>
      <c r="E198" s="221">
        <f>C198*D198</f>
        <v>677.60875</v>
      </c>
      <c r="F198" s="203">
        <v>38.51</v>
      </c>
      <c r="G198" s="219">
        <f>E198*F198/1000</f>
        <v>26.094712962499997</v>
      </c>
    </row>
    <row r="199" spans="2:7" ht="12.75">
      <c r="B199" s="259" t="s">
        <v>11</v>
      </c>
      <c r="C199" s="260"/>
      <c r="D199" s="261"/>
      <c r="E199" s="221">
        <f>SUM(E196:E198)</f>
        <v>1355.2175</v>
      </c>
      <c r="F199" s="219" t="s">
        <v>36</v>
      </c>
      <c r="G199" s="219">
        <f>SUM(G196:G198)</f>
        <v>79.76789461875</v>
      </c>
    </row>
    <row r="200" ht="12.75"/>
    <row r="201" spans="1:2" s="253" customFormat="1" ht="15.75">
      <c r="A201" s="252" t="s">
        <v>239</v>
      </c>
      <c r="B201" s="63" t="s">
        <v>344</v>
      </c>
    </row>
    <row r="202" spans="2:6" ht="51">
      <c r="B202" s="254" t="s">
        <v>328</v>
      </c>
      <c r="C202" s="72" t="s">
        <v>345</v>
      </c>
      <c r="D202" s="72" t="s">
        <v>346</v>
      </c>
      <c r="E202" s="191" t="s">
        <v>327</v>
      </c>
      <c r="F202" s="72" t="s">
        <v>107</v>
      </c>
    </row>
    <row r="203" spans="2:6" ht="12.75">
      <c r="B203" s="73" t="s">
        <v>329</v>
      </c>
      <c r="C203" s="255">
        <f>E148/99</f>
        <v>698.4217171717172</v>
      </c>
      <c r="D203" s="256">
        <f>C203*0.6</f>
        <v>419.0530303030303</v>
      </c>
      <c r="E203" s="201">
        <v>846</v>
      </c>
      <c r="F203" s="236">
        <f>D203*E203/1000</f>
        <v>354.5188636363636</v>
      </c>
    </row>
    <row r="204" ht="12.75"/>
    <row r="205" spans="1:2" ht="15">
      <c r="A205" s="58" t="s">
        <v>240</v>
      </c>
      <c r="B205" s="69" t="s">
        <v>333</v>
      </c>
    </row>
    <row r="206" spans="2:9" ht="51">
      <c r="B206" s="188" t="s">
        <v>108</v>
      </c>
      <c r="C206" s="188" t="s">
        <v>3</v>
      </c>
      <c r="D206" s="188" t="s">
        <v>109</v>
      </c>
      <c r="E206" s="188" t="s">
        <v>318</v>
      </c>
      <c r="F206" s="188" t="s">
        <v>110</v>
      </c>
      <c r="G206" s="188" t="s">
        <v>111</v>
      </c>
      <c r="H206" s="188" t="s">
        <v>112</v>
      </c>
      <c r="I206" s="188" t="s">
        <v>107</v>
      </c>
    </row>
    <row r="207" spans="2:11" ht="25.5">
      <c r="B207" s="85" t="s">
        <v>319</v>
      </c>
      <c r="C207" s="188" t="s">
        <v>320</v>
      </c>
      <c r="D207" s="188">
        <v>0</v>
      </c>
      <c r="E207" s="188">
        <v>1.04</v>
      </c>
      <c r="F207" s="188">
        <v>120</v>
      </c>
      <c r="G207" s="228">
        <f>D207*E207*F207</f>
        <v>0</v>
      </c>
      <c r="H207" s="202">
        <f>G175</f>
        <v>4.36</v>
      </c>
      <c r="I207" s="228">
        <f>G207*H207/1000</f>
        <v>0</v>
      </c>
      <c r="K207" s="82"/>
    </row>
    <row r="208" spans="2:9" ht="12.75">
      <c r="B208" s="273" t="s">
        <v>113</v>
      </c>
      <c r="C208" s="273"/>
      <c r="D208" s="273"/>
      <c r="E208" s="273"/>
      <c r="F208" s="273"/>
      <c r="G208" s="273"/>
      <c r="H208" s="273"/>
      <c r="I208" s="273"/>
    </row>
    <row r="209" ht="12.75"/>
    <row r="210" spans="1:2" ht="15">
      <c r="A210" s="58" t="s">
        <v>241</v>
      </c>
      <c r="B210" s="69" t="s">
        <v>347</v>
      </c>
    </row>
    <row r="211" spans="2:5" ht="45">
      <c r="B211" s="77" t="s">
        <v>114</v>
      </c>
      <c r="C211" s="77" t="s">
        <v>110</v>
      </c>
      <c r="D211" s="77" t="s">
        <v>115</v>
      </c>
      <c r="E211" s="77" t="s">
        <v>107</v>
      </c>
    </row>
    <row r="212" spans="2:5" ht="15">
      <c r="B212" s="80" t="s">
        <v>116</v>
      </c>
      <c r="C212" s="227">
        <f>F207</f>
        <v>120</v>
      </c>
      <c r="D212" s="187">
        <v>600</v>
      </c>
      <c r="E212" s="227">
        <f>D212*C212/1000*12</f>
        <v>864</v>
      </c>
    </row>
    <row r="213" ht="12.75"/>
    <row r="214" spans="1:2" s="63" customFormat="1" ht="15">
      <c r="A214" s="153" t="s">
        <v>242</v>
      </c>
      <c r="B214" s="63" t="s">
        <v>348</v>
      </c>
    </row>
    <row r="215" spans="1:3" s="67" customFormat="1" ht="25.5">
      <c r="A215" s="152"/>
      <c r="B215" s="156" t="s">
        <v>2</v>
      </c>
      <c r="C215" s="156" t="s">
        <v>105</v>
      </c>
    </row>
    <row r="216" spans="2:5" ht="15" customHeight="1">
      <c r="B216" s="132" t="s">
        <v>322</v>
      </c>
      <c r="C216" s="233">
        <v>17</v>
      </c>
      <c r="D216" s="64"/>
      <c r="E216" s="64"/>
    </row>
    <row r="217" spans="2:5" ht="15.75" customHeight="1">
      <c r="B217" s="132" t="s">
        <v>323</v>
      </c>
      <c r="C217" s="233">
        <f>25*7</f>
        <v>175</v>
      </c>
      <c r="D217" s="64"/>
      <c r="E217" s="64"/>
    </row>
    <row r="218" spans="2:5" ht="15.75" customHeight="1">
      <c r="B218" s="132" t="s">
        <v>334</v>
      </c>
      <c r="C218" s="233">
        <f>C216/100*C217*$O$137</f>
        <v>8895.250000000002</v>
      </c>
      <c r="D218" s="64"/>
      <c r="E218" s="64"/>
    </row>
    <row r="219" spans="2:5" ht="15.75" customHeight="1">
      <c r="B219" s="132" t="s">
        <v>324</v>
      </c>
      <c r="C219" s="233">
        <v>60</v>
      </c>
      <c r="D219" s="64"/>
      <c r="E219" s="64"/>
    </row>
    <row r="220" spans="2:5" ht="17.25" customHeight="1">
      <c r="B220" s="132" t="s">
        <v>363</v>
      </c>
      <c r="C220" s="234">
        <f>C218*C219/1000</f>
        <v>533.7150000000001</v>
      </c>
      <c r="D220" s="64"/>
      <c r="E220" s="64"/>
    </row>
    <row r="221" spans="2:5" ht="17.25" customHeight="1">
      <c r="B221" s="64"/>
      <c r="C221" s="235"/>
      <c r="D221" s="64"/>
      <c r="E221" s="64"/>
    </row>
    <row r="222" spans="1:2" ht="15">
      <c r="A222" s="58" t="s">
        <v>243</v>
      </c>
      <c r="B222" s="69" t="s">
        <v>349</v>
      </c>
    </row>
    <row r="223" spans="2:6" ht="60">
      <c r="B223" s="77" t="s">
        <v>117</v>
      </c>
      <c r="C223" s="77" t="s">
        <v>118</v>
      </c>
      <c r="D223" s="77" t="s">
        <v>119</v>
      </c>
      <c r="E223" s="77" t="s">
        <v>120</v>
      </c>
      <c r="F223" s="77" t="s">
        <v>121</v>
      </c>
    </row>
    <row r="224" spans="2:6" ht="15">
      <c r="B224" s="80" t="s">
        <v>122</v>
      </c>
      <c r="C224" s="225">
        <v>30</v>
      </c>
      <c r="D224" s="229">
        <f>1/C224</f>
        <v>0.03333333333333333</v>
      </c>
      <c r="E224" s="230">
        <v>0</v>
      </c>
      <c r="F224" s="231">
        <f>D224*E224</f>
        <v>0</v>
      </c>
    </row>
    <row r="225" spans="2:6" ht="15">
      <c r="B225" s="80" t="s">
        <v>123</v>
      </c>
      <c r="C225" s="225">
        <v>5</v>
      </c>
      <c r="D225" s="229">
        <f>1/C225</f>
        <v>0.2</v>
      </c>
      <c r="E225" s="230">
        <f>E121</f>
        <v>1372.2858</v>
      </c>
      <c r="F225" s="232">
        <f>D225*E225</f>
        <v>274.45716000000004</v>
      </c>
    </row>
    <row r="226" spans="2:6" ht="30">
      <c r="B226" s="80" t="s">
        <v>321</v>
      </c>
      <c r="C226" s="225">
        <v>5</v>
      </c>
      <c r="D226" s="229">
        <f>1/C226</f>
        <v>0.2</v>
      </c>
      <c r="E226" s="230">
        <f>C282</f>
        <v>2500</v>
      </c>
      <c r="F226" s="231">
        <f>E226*D226</f>
        <v>500</v>
      </c>
    </row>
    <row r="227" spans="2:6" ht="15">
      <c r="B227" s="274" t="s">
        <v>11</v>
      </c>
      <c r="C227" s="275"/>
      <c r="D227" s="276"/>
      <c r="E227" s="230">
        <f>SUM(E224:E226)</f>
        <v>3872.2858</v>
      </c>
      <c r="F227" s="232">
        <f>SUM(F224:F226)</f>
        <v>774.45716</v>
      </c>
    </row>
    <row r="228" spans="2:6" ht="15">
      <c r="B228" s="81"/>
      <c r="C228" s="81"/>
      <c r="D228" s="81"/>
      <c r="E228" s="83"/>
      <c r="F228" s="83"/>
    </row>
    <row r="229" spans="1:2" ht="12.75">
      <c r="A229" s="58" t="s">
        <v>244</v>
      </c>
      <c r="B229" s="64" t="s">
        <v>350</v>
      </c>
    </row>
    <row r="230" spans="2:3" ht="38.25">
      <c r="B230" s="72" t="s">
        <v>114</v>
      </c>
      <c r="C230" s="72" t="s">
        <v>125</v>
      </c>
    </row>
    <row r="231" spans="2:3" ht="12.75">
      <c r="B231" s="73" t="s">
        <v>126</v>
      </c>
      <c r="C231" s="201">
        <v>18</v>
      </c>
    </row>
    <row r="232" spans="2:3" ht="38.25">
      <c r="B232" s="73" t="s">
        <v>127</v>
      </c>
      <c r="C232" s="201">
        <v>24</v>
      </c>
    </row>
    <row r="233" spans="2:3" ht="12.75">
      <c r="B233" s="73" t="s">
        <v>128</v>
      </c>
      <c r="C233" s="201">
        <f>3*12</f>
        <v>36</v>
      </c>
    </row>
    <row r="234" spans="2:3" ht="25.5" customHeight="1">
      <c r="B234" s="73" t="s">
        <v>235</v>
      </c>
      <c r="C234" s="213">
        <f>G148*0.005</f>
        <v>143.89375</v>
      </c>
    </row>
    <row r="235" spans="2:3" ht="12.75">
      <c r="B235" s="73" t="s">
        <v>11</v>
      </c>
      <c r="C235" s="236">
        <f>SUM(C231:C234)</f>
        <v>221.89375</v>
      </c>
    </row>
    <row r="236" ht="12.75"/>
    <row r="237" spans="1:2" ht="12.75">
      <c r="A237" s="58" t="s">
        <v>245</v>
      </c>
      <c r="B237" s="64" t="s">
        <v>351</v>
      </c>
    </row>
    <row r="238" spans="2:4" ht="21" customHeight="1">
      <c r="B238" s="277" t="s">
        <v>114</v>
      </c>
      <c r="C238" s="282" t="s">
        <v>129</v>
      </c>
      <c r="D238" s="283"/>
    </row>
    <row r="239" spans="2:4" ht="12.75">
      <c r="B239" s="278"/>
      <c r="C239" s="72" t="s">
        <v>8</v>
      </c>
      <c r="D239" s="72" t="s">
        <v>34</v>
      </c>
    </row>
    <row r="240" spans="2:4" ht="12.75">
      <c r="B240" s="73" t="s">
        <v>31</v>
      </c>
      <c r="C240" s="217">
        <f>G161</f>
        <v>12734.802437500002</v>
      </c>
      <c r="D240" s="237">
        <f aca="true" t="shared" si="13" ref="D240:D249">C240/$C$250*100</f>
        <v>61.088304422621874</v>
      </c>
    </row>
    <row r="241" spans="2:4" ht="12.75">
      <c r="B241" s="73" t="s">
        <v>130</v>
      </c>
      <c r="C241" s="217">
        <f>F171</f>
        <v>5035.68</v>
      </c>
      <c r="D241" s="237">
        <f t="shared" si="13"/>
        <v>24.155942294719914</v>
      </c>
    </row>
    <row r="242" spans="2:4" ht="12.75">
      <c r="B242" s="73" t="s">
        <v>131</v>
      </c>
      <c r="C242" s="218">
        <f>H192</f>
        <v>247.71245824000005</v>
      </c>
      <c r="D242" s="237">
        <f t="shared" si="13"/>
        <v>1.188266102478445</v>
      </c>
    </row>
    <row r="243" spans="2:4" ht="12.75">
      <c r="B243" s="73" t="s">
        <v>132</v>
      </c>
      <c r="C243" s="218">
        <f>G199</f>
        <v>79.76789461875</v>
      </c>
      <c r="D243" s="237">
        <f t="shared" si="13"/>
        <v>0.382643190072011</v>
      </c>
    </row>
    <row r="244" spans="2:4" ht="25.5">
      <c r="B244" s="73" t="s">
        <v>332</v>
      </c>
      <c r="C244" s="218">
        <f>F203</f>
        <v>354.5188636363636</v>
      </c>
      <c r="D244" s="237">
        <f t="shared" si="13"/>
        <v>1.7006118761298725</v>
      </c>
    </row>
    <row r="245" spans="2:4" ht="12.75">
      <c r="B245" s="73" t="s">
        <v>133</v>
      </c>
      <c r="C245" s="218">
        <f>I207</f>
        <v>0</v>
      </c>
      <c r="D245" s="237">
        <f t="shared" si="13"/>
        <v>0</v>
      </c>
    </row>
    <row r="246" spans="2:4" ht="12.75">
      <c r="B246" s="73" t="s">
        <v>134</v>
      </c>
      <c r="C246" s="218">
        <f>E212</f>
        <v>864</v>
      </c>
      <c r="D246" s="237">
        <f t="shared" si="13"/>
        <v>4.144571168667985</v>
      </c>
    </row>
    <row r="247" spans="2:4" ht="12.75">
      <c r="B247" s="73" t="s">
        <v>335</v>
      </c>
      <c r="C247" s="218">
        <f>C220</f>
        <v>533.7150000000001</v>
      </c>
      <c r="D247" s="237">
        <f t="shared" si="13"/>
        <v>2.560208103339855</v>
      </c>
    </row>
    <row r="248" spans="2:4" ht="12.75">
      <c r="B248" s="73" t="s">
        <v>32</v>
      </c>
      <c r="C248" s="218">
        <f>F227</f>
        <v>774.45716</v>
      </c>
      <c r="D248" s="237">
        <f t="shared" si="13"/>
        <v>3.7150379822968627</v>
      </c>
    </row>
    <row r="249" spans="2:7" ht="12.75">
      <c r="B249" s="73" t="s">
        <v>135</v>
      </c>
      <c r="C249" s="218">
        <f>C235</f>
        <v>221.89375</v>
      </c>
      <c r="D249" s="237">
        <f t="shared" si="13"/>
        <v>1.0644148596731735</v>
      </c>
      <c r="F249" s="162" t="s">
        <v>361</v>
      </c>
      <c r="G249" s="162" t="s">
        <v>362</v>
      </c>
    </row>
    <row r="250" spans="2:7" ht="12.75">
      <c r="B250" s="73" t="s">
        <v>11</v>
      </c>
      <c r="C250" s="218">
        <f>SUM(C240:C249)</f>
        <v>20846.54756399512</v>
      </c>
      <c r="D250" s="237">
        <f>SUM(D240:D249)</f>
        <v>100</v>
      </c>
      <c r="F250" s="257">
        <f>G148-C250</f>
        <v>7932.202436004882</v>
      </c>
      <c r="G250" s="258">
        <f>F250/G148*100</f>
        <v>27.562706635989688</v>
      </c>
    </row>
    <row r="251" ht="12.75"/>
    <row r="252" spans="1:86" s="46" customFormat="1" ht="12" customHeight="1">
      <c r="A252" s="151"/>
      <c r="B252" s="46" t="s">
        <v>136</v>
      </c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  <c r="CC252" s="94"/>
      <c r="CD252" s="94"/>
      <c r="CE252" s="94"/>
      <c r="CF252" s="94"/>
      <c r="CG252" s="94"/>
      <c r="CH252" s="94"/>
    </row>
    <row r="253" ht="12.75">
      <c r="B253" s="53" t="s">
        <v>79</v>
      </c>
    </row>
    <row r="254" ht="12.75">
      <c r="B254" s="53"/>
    </row>
    <row r="255" spans="1:2" ht="17.25" customHeight="1">
      <c r="A255" s="58" t="s">
        <v>246</v>
      </c>
      <c r="B255" s="63" t="s">
        <v>352</v>
      </c>
    </row>
    <row r="256" spans="2:7" ht="12.75">
      <c r="B256" s="78" t="s">
        <v>137</v>
      </c>
      <c r="C256" s="78" t="s">
        <v>38</v>
      </c>
      <c r="D256" s="78" t="s">
        <v>4</v>
      </c>
      <c r="E256" s="78" t="s">
        <v>39</v>
      </c>
      <c r="F256" s="78" t="s">
        <v>37</v>
      </c>
      <c r="G256" s="78" t="s">
        <v>11</v>
      </c>
    </row>
    <row r="257" spans="2:7" ht="12.75">
      <c r="B257" s="85" t="s">
        <v>139</v>
      </c>
      <c r="C257" s="78"/>
      <c r="D257" s="78"/>
      <c r="E257" s="78"/>
      <c r="F257" s="78"/>
      <c r="G257" s="78"/>
    </row>
    <row r="258" spans="2:7" ht="12.75">
      <c r="B258" s="85" t="s">
        <v>141</v>
      </c>
      <c r="C258" s="78"/>
      <c r="D258" s="78"/>
      <c r="E258" s="78"/>
      <c r="F258" s="78"/>
      <c r="G258" s="241">
        <f>(G148-C250)*0.1</f>
        <v>793.2202436004882</v>
      </c>
    </row>
    <row r="259" spans="2:7" ht="12.75" hidden="1">
      <c r="B259" s="85" t="s">
        <v>140</v>
      </c>
      <c r="C259" s="78"/>
      <c r="D259" s="78"/>
      <c r="E259" s="78"/>
      <c r="F259" s="78"/>
      <c r="G259" s="78"/>
    </row>
    <row r="260" spans="2:7" ht="12.75" hidden="1">
      <c r="B260" s="79" t="s">
        <v>138</v>
      </c>
      <c r="C260" s="84"/>
      <c r="D260" s="79"/>
      <c r="E260" s="79"/>
      <c r="F260" s="84"/>
      <c r="G260" s="84"/>
    </row>
    <row r="261" ht="12.75"/>
    <row r="262" spans="1:86" s="46" customFormat="1" ht="12" customHeight="1">
      <c r="A262" s="151"/>
      <c r="B262" s="46" t="s">
        <v>153</v>
      </c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  <c r="BC262" s="94"/>
      <c r="BD262" s="94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94"/>
      <c r="BQ262" s="94"/>
      <c r="BR262" s="94"/>
      <c r="BS262" s="94"/>
      <c r="BT262" s="94"/>
      <c r="BU262" s="94"/>
      <c r="BV262" s="94"/>
      <c r="BW262" s="94"/>
      <c r="BX262" s="94"/>
      <c r="BY262" s="94"/>
      <c r="BZ262" s="94"/>
      <c r="CA262" s="94"/>
      <c r="CB262" s="94"/>
      <c r="CC262" s="94"/>
      <c r="CD262" s="94"/>
      <c r="CE262" s="94"/>
      <c r="CF262" s="94"/>
      <c r="CG262" s="94"/>
      <c r="CH262" s="94"/>
    </row>
    <row r="263" ht="12.75">
      <c r="B263" s="53" t="s">
        <v>201</v>
      </c>
    </row>
    <row r="264" ht="12.75">
      <c r="B264" s="53"/>
    </row>
    <row r="265" spans="1:2" ht="15">
      <c r="A265" s="58" t="s">
        <v>247</v>
      </c>
      <c r="B265" s="69" t="s">
        <v>353</v>
      </c>
    </row>
    <row r="266" spans="2:3" ht="25.5">
      <c r="B266" s="78" t="s">
        <v>148</v>
      </c>
      <c r="C266" s="78" t="s">
        <v>89</v>
      </c>
    </row>
    <row r="267" spans="2:3" ht="12.75">
      <c r="B267" s="78" t="s">
        <v>159</v>
      </c>
      <c r="C267" s="239">
        <f>C268+C269+C270</f>
        <v>5000.445175</v>
      </c>
    </row>
    <row r="268" spans="1:3" s="53" customFormat="1" ht="25.5">
      <c r="A268" s="146"/>
      <c r="B268" s="91" t="s">
        <v>149</v>
      </c>
      <c r="C268" s="92">
        <f>C285</f>
        <v>5000.445175</v>
      </c>
    </row>
    <row r="269" spans="1:3" s="53" customFormat="1" ht="25.5">
      <c r="A269" s="146"/>
      <c r="B269" s="91" t="s">
        <v>150</v>
      </c>
      <c r="C269" s="91">
        <v>0</v>
      </c>
    </row>
    <row r="270" spans="1:3" s="53" customFormat="1" ht="25.5">
      <c r="A270" s="146"/>
      <c r="B270" s="91" t="s">
        <v>151</v>
      </c>
      <c r="C270" s="91">
        <v>0</v>
      </c>
    </row>
    <row r="271" spans="1:3" s="53" customFormat="1" ht="27" customHeight="1">
      <c r="A271" s="146"/>
      <c r="B271" s="78" t="s">
        <v>160</v>
      </c>
      <c r="C271" s="240">
        <f>C272+C273</f>
        <v>0</v>
      </c>
    </row>
    <row r="272" spans="1:3" s="53" customFormat="1" ht="12.75">
      <c r="A272" s="146"/>
      <c r="B272" s="91" t="s">
        <v>152</v>
      </c>
      <c r="C272" s="91"/>
    </row>
    <row r="273" spans="1:3" s="53" customFormat="1" ht="25.5">
      <c r="A273" s="146"/>
      <c r="B273" s="91" t="s">
        <v>161</v>
      </c>
      <c r="C273" s="91"/>
    </row>
    <row r="274" spans="1:3" s="53" customFormat="1" ht="12.75">
      <c r="A274" s="146"/>
      <c r="B274" s="79" t="s">
        <v>11</v>
      </c>
      <c r="C274" s="239">
        <f>C271+C267</f>
        <v>5000.445175</v>
      </c>
    </row>
    <row r="275" ht="12.75">
      <c r="B275" s="53"/>
    </row>
    <row r="276" spans="1:2" s="63" customFormat="1" ht="15">
      <c r="A276" s="153" t="s">
        <v>248</v>
      </c>
      <c r="B276" s="63" t="s">
        <v>354</v>
      </c>
    </row>
    <row r="277" spans="2:4" ht="38.25">
      <c r="B277" s="72" t="s">
        <v>114</v>
      </c>
      <c r="C277" s="72" t="s">
        <v>89</v>
      </c>
      <c r="D277" s="72" t="s">
        <v>142</v>
      </c>
    </row>
    <row r="278" spans="2:4" ht="12.75">
      <c r="B278" s="73" t="s">
        <v>143</v>
      </c>
      <c r="C278" s="74">
        <v>0</v>
      </c>
      <c r="D278" s="214">
        <f>C278/$C$285*100</f>
        <v>0</v>
      </c>
    </row>
    <row r="279" spans="2:4" ht="12.75">
      <c r="B279" s="73" t="s">
        <v>144</v>
      </c>
      <c r="C279" s="214">
        <f>C280+C281+C282</f>
        <v>3872.2858</v>
      </c>
      <c r="D279" s="214">
        <f aca="true" t="shared" si="14" ref="D279:D284">C279/$C$285*100</f>
        <v>77.4388212345514</v>
      </c>
    </row>
    <row r="280" spans="1:4" s="53" customFormat="1" ht="12.75">
      <c r="A280" s="146"/>
      <c r="B280" s="87" t="s">
        <v>145</v>
      </c>
      <c r="C280" s="88">
        <v>0</v>
      </c>
      <c r="D280" s="238">
        <f t="shared" si="14"/>
        <v>0</v>
      </c>
    </row>
    <row r="281" spans="1:4" s="53" customFormat="1" ht="12.75">
      <c r="A281" s="146"/>
      <c r="B281" s="87" t="s">
        <v>123</v>
      </c>
      <c r="C281" s="88">
        <f>E121</f>
        <v>1372.2858</v>
      </c>
      <c r="D281" s="238">
        <f t="shared" si="14"/>
        <v>27.44327258822511</v>
      </c>
    </row>
    <row r="282" spans="1:4" s="53" customFormat="1" ht="12.75">
      <c r="A282" s="146"/>
      <c r="B282" s="87" t="s">
        <v>124</v>
      </c>
      <c r="C282" s="88">
        <v>2500</v>
      </c>
      <c r="D282" s="238">
        <f t="shared" si="14"/>
        <v>49.99554864632628</v>
      </c>
    </row>
    <row r="283" spans="2:4" ht="12.75">
      <c r="B283" s="73" t="s">
        <v>146</v>
      </c>
      <c r="C283" s="74">
        <f>(C156*D156*30+C157*D157*30+C158*D158*30)/1000-81</f>
        <v>1128.159375</v>
      </c>
      <c r="D283" s="214">
        <f t="shared" si="14"/>
        <v>22.561178765448616</v>
      </c>
    </row>
    <row r="284" spans="2:4" ht="25.5">
      <c r="B284" s="73" t="s">
        <v>147</v>
      </c>
      <c r="C284" s="74">
        <v>0</v>
      </c>
      <c r="D284" s="214">
        <f t="shared" si="14"/>
        <v>0</v>
      </c>
    </row>
    <row r="285" spans="2:4" ht="12.75">
      <c r="B285" s="73" t="s">
        <v>11</v>
      </c>
      <c r="C285" s="214">
        <f>C278+C279+C283+C284</f>
        <v>5000.445175</v>
      </c>
      <c r="D285" s="214">
        <f>D278+D279+D283+D284</f>
        <v>100.00000000000001</v>
      </c>
    </row>
    <row r="286" ht="12.75"/>
    <row r="287" spans="1:2" ht="15">
      <c r="A287" s="58" t="s">
        <v>249</v>
      </c>
      <c r="B287" s="69" t="s">
        <v>355</v>
      </c>
    </row>
    <row r="288" spans="1:2" s="53" customFormat="1" ht="15">
      <c r="A288" s="146"/>
      <c r="B288" s="142" t="s">
        <v>200</v>
      </c>
    </row>
    <row r="289" spans="2:3" ht="15">
      <c r="B289" s="269" t="s">
        <v>157</v>
      </c>
      <c r="C289" s="269"/>
    </row>
    <row r="290" spans="2:3" ht="15">
      <c r="B290" s="90" t="s">
        <v>156</v>
      </c>
      <c r="C290" s="89">
        <v>8</v>
      </c>
    </row>
    <row r="291" spans="2:3" ht="15">
      <c r="B291" s="90" t="s">
        <v>155</v>
      </c>
      <c r="C291" s="89">
        <v>5</v>
      </c>
    </row>
    <row r="292" spans="2:3" ht="15">
      <c r="B292" s="129" t="s">
        <v>158</v>
      </c>
      <c r="C292" s="130">
        <v>3</v>
      </c>
    </row>
    <row r="293" spans="1:7" s="64" customFormat="1" ht="15" customHeight="1">
      <c r="A293" s="120"/>
      <c r="B293" s="270" t="s">
        <v>2</v>
      </c>
      <c r="C293" s="272">
        <f>D33</f>
        <v>2019</v>
      </c>
      <c r="D293" s="272"/>
      <c r="E293" s="272"/>
      <c r="F293" s="272"/>
      <c r="G293" s="272"/>
    </row>
    <row r="294" spans="1:7" s="64" customFormat="1" ht="15" customHeight="1">
      <c r="A294" s="120"/>
      <c r="B294" s="271"/>
      <c r="C294" s="119" t="s">
        <v>25</v>
      </c>
      <c r="D294" s="119" t="s">
        <v>176</v>
      </c>
      <c r="E294" s="119" t="s">
        <v>26</v>
      </c>
      <c r="F294" s="119" t="s">
        <v>27</v>
      </c>
      <c r="G294" s="267" t="s">
        <v>11</v>
      </c>
    </row>
    <row r="295" spans="1:26" s="64" customFormat="1" ht="15">
      <c r="A295" s="120"/>
      <c r="B295" s="90" t="s">
        <v>177</v>
      </c>
      <c r="C295" s="131">
        <f>SUM($C$136:$E$136)</f>
        <v>90</v>
      </c>
      <c r="D295" s="131">
        <f>SUM($F$136:$H$136)</f>
        <v>91</v>
      </c>
      <c r="E295" s="131">
        <f>SUM($I$136:$K$136)</f>
        <v>92</v>
      </c>
      <c r="F295" s="131">
        <f>SUM($L$136:$N$136)</f>
        <v>92</v>
      </c>
      <c r="G295" s="268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</row>
    <row r="296" spans="1:7" s="64" customFormat="1" ht="15">
      <c r="A296" s="120"/>
      <c r="B296" s="90" t="s">
        <v>154</v>
      </c>
      <c r="C296" s="243">
        <f>IF(D35=1,C267,0)</f>
        <v>5000.445175</v>
      </c>
      <c r="D296" s="243">
        <f>IF(D35&lt;3,C267-C298,0)</f>
        <v>5000.445175</v>
      </c>
      <c r="E296" s="243">
        <f>IF(E35&lt;3,C267-D298-C298,0)</f>
        <v>4787.496527033032</v>
      </c>
      <c r="F296" s="243">
        <f>IF($F$35&lt;4,$C$274-$E$298-$D$298-$C$298,0)</f>
        <v>4571.349888833087</v>
      </c>
      <c r="G296" s="245" t="s">
        <v>36</v>
      </c>
    </row>
    <row r="297" spans="1:7" s="64" customFormat="1" ht="15">
      <c r="A297" s="120"/>
      <c r="B297" s="90" t="s">
        <v>175</v>
      </c>
      <c r="C297" s="243">
        <f>C296*$C$290%/365*C295</f>
        <v>98.63891852054796</v>
      </c>
      <c r="D297" s="243">
        <f>D296*$C$290%/365*D295</f>
        <v>99.7349065041096</v>
      </c>
      <c r="E297" s="243">
        <f>E296*$C$290%/365*E295</f>
        <v>96.53691627113183</v>
      </c>
      <c r="F297" s="243">
        <f>F296*$C$290%/365*F295</f>
        <v>92.17845255290827</v>
      </c>
      <c r="G297" s="243">
        <f>SUM(C297:F297)</f>
        <v>387.0891938486976</v>
      </c>
    </row>
    <row r="298" spans="1:7" s="64" customFormat="1" ht="15">
      <c r="A298" s="120"/>
      <c r="B298" s="90" t="s">
        <v>29</v>
      </c>
      <c r="C298" s="243">
        <v>0</v>
      </c>
      <c r="D298" s="243">
        <f>D299-D297</f>
        <v>212.94864796696785</v>
      </c>
      <c r="E298" s="243">
        <f>E299-E297</f>
        <v>216.14663819994564</v>
      </c>
      <c r="F298" s="243">
        <f>F299-F297</f>
        <v>220.5051019181692</v>
      </c>
      <c r="G298" s="243">
        <f>SUM(C298:F298)</f>
        <v>649.6003880850827</v>
      </c>
    </row>
    <row r="299" spans="1:7" s="64" customFormat="1" ht="15">
      <c r="A299" s="120"/>
      <c r="B299" s="90" t="s">
        <v>28</v>
      </c>
      <c r="C299" s="243">
        <f>IF($C$292&lt;=3,C297,C306)</f>
        <v>98.63891852054796</v>
      </c>
      <c r="D299" s="243">
        <f>IF(D296=0,0,IF($C$292&gt;3&lt;6,D297,D306))</f>
        <v>312.68355447107746</v>
      </c>
      <c r="E299" s="243">
        <f>IF($C$292&gt;6&lt;9,E297,D306)</f>
        <v>312.68355447107746</v>
      </c>
      <c r="F299" s="243">
        <f>IF($C$292&gt;12&lt;9,F297,C306)</f>
        <v>312.68355447107746</v>
      </c>
      <c r="G299" s="243">
        <f>SUM(C299:F299)</f>
        <v>1036.6895819337803</v>
      </c>
    </row>
    <row r="300" spans="1:7" s="64" customFormat="1" ht="15" customHeight="1">
      <c r="A300" s="120"/>
      <c r="B300" s="270" t="s">
        <v>2</v>
      </c>
      <c r="C300" s="279">
        <f>C293+1</f>
        <v>2020</v>
      </c>
      <c r="D300" s="280"/>
      <c r="E300" s="280"/>
      <c r="F300" s="280"/>
      <c r="G300" s="281"/>
    </row>
    <row r="301" spans="1:7" s="64" customFormat="1" ht="15" customHeight="1">
      <c r="A301" s="120"/>
      <c r="B301" s="271"/>
      <c r="C301" s="119" t="s">
        <v>25</v>
      </c>
      <c r="D301" s="119" t="s">
        <v>176</v>
      </c>
      <c r="E301" s="119" t="s">
        <v>26</v>
      </c>
      <c r="F301" s="119" t="s">
        <v>27</v>
      </c>
      <c r="G301" s="267" t="s">
        <v>11</v>
      </c>
    </row>
    <row r="302" spans="1:7" s="64" customFormat="1" ht="15">
      <c r="A302" s="120"/>
      <c r="B302" s="90" t="s">
        <v>177</v>
      </c>
      <c r="C302" s="133">
        <f>SUM($C$136:$E$136)</f>
        <v>90</v>
      </c>
      <c r="D302" s="133">
        <f>SUM($F$136:$H$136)</f>
        <v>91</v>
      </c>
      <c r="E302" s="133">
        <f>SUM($I$136:$K$136)</f>
        <v>92</v>
      </c>
      <c r="F302" s="133">
        <f>SUM($L$136:$N$136)</f>
        <v>92</v>
      </c>
      <c r="G302" s="268"/>
    </row>
    <row r="303" spans="1:7" s="64" customFormat="1" ht="15">
      <c r="A303" s="120"/>
      <c r="B303" s="90" t="s">
        <v>154</v>
      </c>
      <c r="C303" s="243">
        <f>IF($F$35&lt;5,C274-F298-E298-D298-C298,0)</f>
        <v>4350.844786914918</v>
      </c>
      <c r="D303" s="243">
        <f>C303-C305</f>
        <v>4123.986115911751</v>
      </c>
      <c r="E303" s="243">
        <f>D303-D305</f>
        <v>3893.5563119169406</v>
      </c>
      <c r="F303" s="243">
        <f>E303-E305</f>
        <v>3659.383920338216</v>
      </c>
      <c r="G303" s="245" t="s">
        <v>36</v>
      </c>
    </row>
    <row r="304" spans="1:7" s="64" customFormat="1" ht="15">
      <c r="A304" s="120"/>
      <c r="B304" s="90" t="s">
        <v>175</v>
      </c>
      <c r="C304" s="243">
        <f>C303*$C$290%/365*C302</f>
        <v>85.82488346791071</v>
      </c>
      <c r="D304" s="243">
        <f>D303*$C$290%/365*D302</f>
        <v>82.25375047626726</v>
      </c>
      <c r="E304" s="243">
        <f>E303*$C$290%/365*E302</f>
        <v>78.51116289235256</v>
      </c>
      <c r="F304" s="243">
        <f>F303*$C$290%/365*F302</f>
        <v>73.7892209690117</v>
      </c>
      <c r="G304" s="243">
        <f>SUM(C304:F304)</f>
        <v>320.3790178055422</v>
      </c>
    </row>
    <row r="305" spans="1:7" s="64" customFormat="1" ht="15">
      <c r="A305" s="120"/>
      <c r="B305" s="90" t="s">
        <v>29</v>
      </c>
      <c r="C305" s="243">
        <f>C306-C304</f>
        <v>226.85867100316676</v>
      </c>
      <c r="D305" s="243">
        <f>D306-D304</f>
        <v>230.4298039948102</v>
      </c>
      <c r="E305" s="243">
        <f>E306-E304</f>
        <v>234.1723915787249</v>
      </c>
      <c r="F305" s="243">
        <f>F306-F304</f>
        <v>238.89433350206576</v>
      </c>
      <c r="G305" s="243">
        <f>SUM(C305:F305)</f>
        <v>930.3552000787677</v>
      </c>
    </row>
    <row r="306" spans="1:7" s="64" customFormat="1" ht="15">
      <c r="A306" s="120"/>
      <c r="B306" s="90" t="s">
        <v>28</v>
      </c>
      <c r="C306" s="224">
        <f>PMT($C$290%/4,($C$291*12-C292)/3,(-C267),0,1)</f>
        <v>312.68355447107746</v>
      </c>
      <c r="D306" s="243">
        <f>C306</f>
        <v>312.68355447107746</v>
      </c>
      <c r="E306" s="243">
        <f>D306</f>
        <v>312.68355447107746</v>
      </c>
      <c r="F306" s="243">
        <f>E306</f>
        <v>312.68355447107746</v>
      </c>
      <c r="G306" s="243">
        <f>SUM(C306:F306)</f>
        <v>1250.7342178843098</v>
      </c>
    </row>
    <row r="307" spans="1:7" s="64" customFormat="1" ht="12.75">
      <c r="A307" s="120"/>
      <c r="B307" s="270" t="s">
        <v>2</v>
      </c>
      <c r="C307" s="272">
        <f>C300+1</f>
        <v>2021</v>
      </c>
      <c r="D307" s="272"/>
      <c r="E307" s="272"/>
      <c r="F307" s="272"/>
      <c r="G307" s="132"/>
    </row>
    <row r="308" spans="1:7" s="64" customFormat="1" ht="12.75">
      <c r="A308" s="120"/>
      <c r="B308" s="271"/>
      <c r="C308" s="119" t="s">
        <v>25</v>
      </c>
      <c r="D308" s="119" t="s">
        <v>176</v>
      </c>
      <c r="E308" s="119" t="s">
        <v>26</v>
      </c>
      <c r="F308" s="119" t="s">
        <v>27</v>
      </c>
      <c r="G308" s="267" t="s">
        <v>11</v>
      </c>
    </row>
    <row r="309" spans="1:7" s="64" customFormat="1" ht="15">
      <c r="A309" s="120"/>
      <c r="B309" s="90" t="s">
        <v>177</v>
      </c>
      <c r="C309" s="133">
        <f>SUM($C$136:$E$136)</f>
        <v>90</v>
      </c>
      <c r="D309" s="133">
        <f>SUM($F$136:$H$136)</f>
        <v>91</v>
      </c>
      <c r="E309" s="133">
        <f>SUM($I$136:$K$136)</f>
        <v>92</v>
      </c>
      <c r="F309" s="133">
        <f>SUM($L$136:$N$136)</f>
        <v>92</v>
      </c>
      <c r="G309" s="268"/>
    </row>
    <row r="310" spans="1:7" s="64" customFormat="1" ht="15">
      <c r="A310" s="120"/>
      <c r="B310" s="90" t="s">
        <v>154</v>
      </c>
      <c r="C310" s="243">
        <f>F303-F305</f>
        <v>3420.48958683615</v>
      </c>
      <c r="D310" s="243">
        <f>C310-C312</f>
        <v>3175.278703667046</v>
      </c>
      <c r="E310" s="243">
        <f>D310-D312</f>
        <v>2925.926735395136</v>
      </c>
      <c r="F310" s="243">
        <f>E310-E312</f>
        <v>2672.2426898898343</v>
      </c>
      <c r="G310" s="245" t="s">
        <v>36</v>
      </c>
    </row>
    <row r="311" spans="1:7" s="64" customFormat="1" ht="15">
      <c r="A311" s="120"/>
      <c r="B311" s="90" t="s">
        <v>175</v>
      </c>
      <c r="C311" s="243">
        <f>C310*$C$290%/365*C309</f>
        <v>67.47267130197338</v>
      </c>
      <c r="D311" s="243">
        <f>D310*$C$290%/365*D309</f>
        <v>63.33158619916739</v>
      </c>
      <c r="E311" s="243">
        <f>E310*$C$290%/365*E309</f>
        <v>58.99950896577589</v>
      </c>
      <c r="F311" s="243">
        <f>F310*$C$290%/365*F309</f>
        <v>53.884126568737486</v>
      </c>
      <c r="G311" s="243">
        <f>SUM(C311:F311)</f>
        <v>243.68789303565416</v>
      </c>
    </row>
    <row r="312" spans="1:7" s="64" customFormat="1" ht="15">
      <c r="A312" s="120"/>
      <c r="B312" s="90" t="s">
        <v>29</v>
      </c>
      <c r="C312" s="243">
        <f>C313-C311</f>
        <v>245.21088316910408</v>
      </c>
      <c r="D312" s="243">
        <f>D313-D311</f>
        <v>249.35196827191007</v>
      </c>
      <c r="E312" s="243">
        <f>E313-E311</f>
        <v>253.68404550530158</v>
      </c>
      <c r="F312" s="243">
        <f>F313-F311</f>
        <v>258.79942790233997</v>
      </c>
      <c r="G312" s="243">
        <f>SUM(C312:F312)</f>
        <v>1007.0463248486557</v>
      </c>
    </row>
    <row r="313" spans="1:7" s="64" customFormat="1" ht="15">
      <c r="A313" s="120"/>
      <c r="B313" s="90" t="s">
        <v>28</v>
      </c>
      <c r="C313" s="243">
        <f>F306</f>
        <v>312.68355447107746</v>
      </c>
      <c r="D313" s="243">
        <f>C313</f>
        <v>312.68355447107746</v>
      </c>
      <c r="E313" s="243">
        <f>D313</f>
        <v>312.68355447107746</v>
      </c>
      <c r="F313" s="243">
        <f>E313</f>
        <v>312.68355447107746</v>
      </c>
      <c r="G313" s="243">
        <f>SUM(C313:F313)</f>
        <v>1250.7342178843098</v>
      </c>
    </row>
    <row r="314" spans="1:7" s="64" customFormat="1" ht="12.75">
      <c r="A314" s="120"/>
      <c r="B314" s="270" t="s">
        <v>2</v>
      </c>
      <c r="C314" s="272">
        <f>C307+1</f>
        <v>2022</v>
      </c>
      <c r="D314" s="272"/>
      <c r="E314" s="272"/>
      <c r="F314" s="272"/>
      <c r="G314" s="132"/>
    </row>
    <row r="315" spans="1:7" s="64" customFormat="1" ht="12.75">
      <c r="A315" s="120"/>
      <c r="B315" s="271"/>
      <c r="C315" s="119" t="s">
        <v>25</v>
      </c>
      <c r="D315" s="119" t="s">
        <v>176</v>
      </c>
      <c r="E315" s="119" t="s">
        <v>26</v>
      </c>
      <c r="F315" s="119" t="s">
        <v>27</v>
      </c>
      <c r="G315" s="267" t="s">
        <v>11</v>
      </c>
    </row>
    <row r="316" spans="1:7" s="64" customFormat="1" ht="15">
      <c r="A316" s="120"/>
      <c r="B316" s="90" t="s">
        <v>177</v>
      </c>
      <c r="C316" s="133">
        <f>SUM($C$136:$E$136)</f>
        <v>90</v>
      </c>
      <c r="D316" s="133">
        <f>SUM($F$136:$H$136)</f>
        <v>91</v>
      </c>
      <c r="E316" s="133">
        <f>SUM($I$136:$K$136)</f>
        <v>92</v>
      </c>
      <c r="F316" s="133">
        <f>SUM($L$136:$N$136)</f>
        <v>92</v>
      </c>
      <c r="G316" s="268"/>
    </row>
    <row r="317" spans="1:7" s="64" customFormat="1" ht="15">
      <c r="A317" s="120"/>
      <c r="B317" s="90" t="s">
        <v>154</v>
      </c>
      <c r="C317" s="243">
        <f>F310-F312</f>
        <v>2413.443261987494</v>
      </c>
      <c r="D317" s="243">
        <f>C317-C319</f>
        <v>2148.3673554241154</v>
      </c>
      <c r="E317" s="243">
        <f>D317-D319</f>
        <v>1878.5334293023188</v>
      </c>
      <c r="F317" s="243">
        <f>E317-E319</f>
        <v>1603.7293434330636</v>
      </c>
      <c r="G317" s="245" t="s">
        <v>36</v>
      </c>
    </row>
    <row r="318" spans="1:7" s="64" customFormat="1" ht="15">
      <c r="A318" s="120"/>
      <c r="B318" s="90" t="s">
        <v>175</v>
      </c>
      <c r="C318" s="243">
        <f>C317*$C$290%/365*C316</f>
        <v>47.607647907698514</v>
      </c>
      <c r="D318" s="243">
        <f>D317*$C$290%/365*D316</f>
        <v>42.84962834928099</v>
      </c>
      <c r="E318" s="243">
        <f>E317*$C$290%/365*E316</f>
        <v>37.879468601822104</v>
      </c>
      <c r="F318" s="243">
        <f>F317*$C$290%/365*F316</f>
        <v>32.338213610047525</v>
      </c>
      <c r="G318" s="243">
        <f>SUM(C318:F318)</f>
        <v>160.67495846884913</v>
      </c>
    </row>
    <row r="319" spans="1:7" s="64" customFormat="1" ht="15">
      <c r="A319" s="120"/>
      <c r="B319" s="90" t="s">
        <v>29</v>
      </c>
      <c r="C319" s="243">
        <f>C320-C318</f>
        <v>265.07590656337896</v>
      </c>
      <c r="D319" s="243">
        <f>D320-D318</f>
        <v>269.8339261217965</v>
      </c>
      <c r="E319" s="243">
        <f>E320-E318</f>
        <v>274.80408586925535</v>
      </c>
      <c r="F319" s="243">
        <f>F320-F318</f>
        <v>280.3453408610299</v>
      </c>
      <c r="G319" s="243">
        <f>SUM(C319:F319)</f>
        <v>1090.0592594154607</v>
      </c>
    </row>
    <row r="320" spans="1:7" s="64" customFormat="1" ht="15">
      <c r="A320" s="120"/>
      <c r="B320" s="90" t="s">
        <v>28</v>
      </c>
      <c r="C320" s="243">
        <f>F313</f>
        <v>312.68355447107746</v>
      </c>
      <c r="D320" s="243">
        <f>C320</f>
        <v>312.68355447107746</v>
      </c>
      <c r="E320" s="243">
        <f>D320</f>
        <v>312.68355447107746</v>
      </c>
      <c r="F320" s="243">
        <f>E320</f>
        <v>312.68355447107746</v>
      </c>
      <c r="G320" s="243">
        <f>SUM(C320:F320)</f>
        <v>1250.7342178843098</v>
      </c>
    </row>
    <row r="321" spans="1:7" s="64" customFormat="1" ht="12.75">
      <c r="A321" s="120"/>
      <c r="B321" s="270" t="s">
        <v>2</v>
      </c>
      <c r="C321" s="272">
        <f>C314+1</f>
        <v>2023</v>
      </c>
      <c r="D321" s="272"/>
      <c r="E321" s="272"/>
      <c r="F321" s="272"/>
      <c r="G321" s="132"/>
    </row>
    <row r="322" spans="1:7" s="64" customFormat="1" ht="12.75">
      <c r="A322" s="120"/>
      <c r="B322" s="271"/>
      <c r="C322" s="119" t="s">
        <v>25</v>
      </c>
      <c r="D322" s="119" t="s">
        <v>176</v>
      </c>
      <c r="E322" s="119" t="s">
        <v>26</v>
      </c>
      <c r="F322" s="119" t="s">
        <v>27</v>
      </c>
      <c r="G322" s="267" t="s">
        <v>11</v>
      </c>
    </row>
    <row r="323" spans="1:7" s="64" customFormat="1" ht="15">
      <c r="A323" s="120"/>
      <c r="B323" s="90" t="s">
        <v>177</v>
      </c>
      <c r="C323" s="133">
        <f>SUM($C$136:$E$136)</f>
        <v>90</v>
      </c>
      <c r="D323" s="133">
        <f>SUM($F$136:$H$136)</f>
        <v>91</v>
      </c>
      <c r="E323" s="133">
        <f>SUM($I$136:$K$136)</f>
        <v>92</v>
      </c>
      <c r="F323" s="133">
        <f>SUM($L$136:$N$136)</f>
        <v>92</v>
      </c>
      <c r="G323" s="268"/>
    </row>
    <row r="324" spans="1:7" s="64" customFormat="1" ht="15">
      <c r="A324" s="120"/>
      <c r="B324" s="90" t="s">
        <v>154</v>
      </c>
      <c r="C324" s="243">
        <f>F317-F319</f>
        <v>1323.3840025720338</v>
      </c>
      <c r="D324" s="243">
        <f>C324-C326</f>
        <v>1036.8055571927882</v>
      </c>
      <c r="E324" s="243">
        <f>D324-D326</f>
        <v>744.8013026021588</v>
      </c>
      <c r="F324" s="243">
        <f>E324-E326</f>
        <v>447.13620727396324</v>
      </c>
      <c r="G324" s="245" t="s">
        <v>36</v>
      </c>
    </row>
    <row r="325" spans="1:7" s="64" customFormat="1" ht="15">
      <c r="A325" s="120"/>
      <c r="B325" s="90" t="s">
        <v>175</v>
      </c>
      <c r="C325" s="243">
        <f>C324*$C$290%/365*C323</f>
        <v>26.1051090918319</v>
      </c>
      <c r="D325" s="243">
        <f>D324*$C$290%/365*D323</f>
        <v>20.679299880447942</v>
      </c>
      <c r="E325" s="243">
        <f>E324*$C$290%/365*E323</f>
        <v>15.018459142881886</v>
      </c>
      <c r="F325" s="243">
        <f>F324*$C$290%/365*F323</f>
        <v>9.016225987770875</v>
      </c>
      <c r="G325" s="243">
        <f>SUM(C325:F325)</f>
        <v>70.81909410293261</v>
      </c>
    </row>
    <row r="326" spans="1:7" s="64" customFormat="1" ht="15">
      <c r="A326" s="120"/>
      <c r="B326" s="90" t="s">
        <v>29</v>
      </c>
      <c r="C326" s="243">
        <f>C327-C325</f>
        <v>286.5784453792456</v>
      </c>
      <c r="D326" s="243">
        <f>D327-D325</f>
        <v>292.0042545906295</v>
      </c>
      <c r="E326" s="243">
        <f>E327-E325</f>
        <v>297.66509532819555</v>
      </c>
      <c r="F326" s="243">
        <f>IF(C296&gt;0,F324,F327-F325)</f>
        <v>447.13620727396324</v>
      </c>
      <c r="G326" s="243">
        <f>SUM(C326:F326)</f>
        <v>1323.3840025720338</v>
      </c>
    </row>
    <row r="327" spans="1:7" s="64" customFormat="1" ht="15">
      <c r="A327" s="120"/>
      <c r="B327" s="90" t="s">
        <v>28</v>
      </c>
      <c r="C327" s="243">
        <f>F320</f>
        <v>312.68355447107746</v>
      </c>
      <c r="D327" s="243">
        <f>C327</f>
        <v>312.68355447107746</v>
      </c>
      <c r="E327" s="243">
        <f>D327</f>
        <v>312.68355447107746</v>
      </c>
      <c r="F327" s="243">
        <f>IF(F326=F324,F325+F326,E327)</f>
        <v>456.15243326173413</v>
      </c>
      <c r="G327" s="243">
        <f>SUM(C327:F327)</f>
        <v>1394.2030966749664</v>
      </c>
    </row>
    <row r="328" spans="1:7" s="64" customFormat="1" ht="12.75">
      <c r="A328" s="120"/>
      <c r="B328" s="270" t="s">
        <v>2</v>
      </c>
      <c r="C328" s="272">
        <f>C321+1</f>
        <v>2024</v>
      </c>
      <c r="D328" s="272"/>
      <c r="E328" s="272"/>
      <c r="F328" s="272"/>
      <c r="G328" s="132"/>
    </row>
    <row r="329" spans="1:7" s="64" customFormat="1" ht="12.75">
      <c r="A329" s="120"/>
      <c r="B329" s="271"/>
      <c r="C329" s="119" t="s">
        <v>25</v>
      </c>
      <c r="D329" s="119" t="s">
        <v>176</v>
      </c>
      <c r="E329" s="119" t="s">
        <v>26</v>
      </c>
      <c r="F329" s="119" t="s">
        <v>27</v>
      </c>
      <c r="G329" s="267" t="s">
        <v>11</v>
      </c>
    </row>
    <row r="330" spans="1:7" s="64" customFormat="1" ht="15">
      <c r="A330" s="120"/>
      <c r="B330" s="90" t="s">
        <v>177</v>
      </c>
      <c r="C330" s="133">
        <f>SUM($C$136:$E$136)</f>
        <v>90</v>
      </c>
      <c r="D330" s="133">
        <f>SUM($F$136:$H$136)</f>
        <v>91</v>
      </c>
      <c r="E330" s="133">
        <f>SUM($I$136:$K$136)</f>
        <v>92</v>
      </c>
      <c r="F330" s="133">
        <f>SUM($L$136:$N$136)</f>
        <v>92</v>
      </c>
      <c r="G330" s="268"/>
    </row>
    <row r="331" spans="1:7" s="64" customFormat="1" ht="15">
      <c r="A331" s="120"/>
      <c r="B331" s="90" t="s">
        <v>154</v>
      </c>
      <c r="C331" s="243">
        <f>F324-F326</f>
        <v>0</v>
      </c>
      <c r="D331" s="243">
        <f>C331-C333</f>
        <v>0</v>
      </c>
      <c r="E331" s="243">
        <f>D331-D333</f>
        <v>0</v>
      </c>
      <c r="F331" s="243">
        <f>E331-E333</f>
        <v>0</v>
      </c>
      <c r="G331" s="245" t="s">
        <v>36</v>
      </c>
    </row>
    <row r="332" spans="1:7" s="64" customFormat="1" ht="15">
      <c r="A332" s="120"/>
      <c r="B332" s="90" t="s">
        <v>175</v>
      </c>
      <c r="C332" s="243">
        <f>C331*$C$290%/365*C330</f>
        <v>0</v>
      </c>
      <c r="D332" s="243">
        <f>C331*$C$290%/365*D330</f>
        <v>0</v>
      </c>
      <c r="E332" s="243">
        <f>D331*$C$290%/365*E330</f>
        <v>0</v>
      </c>
      <c r="F332" s="243">
        <f>E331*$C$290%/365*F330</f>
        <v>0</v>
      </c>
      <c r="G332" s="243">
        <f>SUM(C332:F332)</f>
        <v>0</v>
      </c>
    </row>
    <row r="333" spans="1:7" s="64" customFormat="1" ht="15">
      <c r="A333" s="120"/>
      <c r="B333" s="90" t="s">
        <v>29</v>
      </c>
      <c r="C333" s="243">
        <f>IF(D296&gt;0,C331,C334-C332)</f>
        <v>0</v>
      </c>
      <c r="D333" s="243">
        <f>IF(E296&gt;0,D331,D334-D332)</f>
        <v>0</v>
      </c>
      <c r="E333" s="243">
        <f>IF(F296&gt;0,E331,E334-E332)</f>
        <v>0</v>
      </c>
      <c r="F333" s="243">
        <f>IF(C303&gt;0,F331,F334-F332)</f>
        <v>0</v>
      </c>
      <c r="G333" s="243">
        <f>SUM(C333:F333)</f>
        <v>0</v>
      </c>
    </row>
    <row r="334" spans="1:7" s="64" customFormat="1" ht="15">
      <c r="A334" s="120"/>
      <c r="B334" s="90" t="s">
        <v>28</v>
      </c>
      <c r="C334" s="243">
        <f>IF(C333=C331,C332+C333,B334)</f>
        <v>0</v>
      </c>
      <c r="D334" s="243">
        <f>IF(D333=D331,D332+D333,C334)</f>
        <v>0</v>
      </c>
      <c r="E334" s="243">
        <f>IF(E333=E331,E332+E333,D334)</f>
        <v>0</v>
      </c>
      <c r="F334" s="243">
        <f>IF(F333=F331,F332+F333,E334)</f>
        <v>0</v>
      </c>
      <c r="G334" s="243">
        <f>SUM(C334:F334)</f>
        <v>0</v>
      </c>
    </row>
    <row r="335" spans="2:3" ht="15">
      <c r="B335" s="90" t="s">
        <v>178</v>
      </c>
      <c r="C335" s="244">
        <f>G332+G325+G318+G311+G304+G297</f>
        <v>1182.6501572616758</v>
      </c>
    </row>
    <row r="336" spans="2:3" ht="15">
      <c r="B336" s="90" t="s">
        <v>179</v>
      </c>
      <c r="C336" s="244">
        <f>G333+G326+G319+G312+G305+G298</f>
        <v>5000.445175000001</v>
      </c>
    </row>
    <row r="337" spans="2:3" ht="15">
      <c r="B337" s="90" t="s">
        <v>28</v>
      </c>
      <c r="C337" s="244">
        <f>G334+G327+G320+G313+G306+G299</f>
        <v>6183.095332261677</v>
      </c>
    </row>
    <row r="339" spans="1:86" s="46" customFormat="1" ht="12" customHeight="1">
      <c r="A339" s="151"/>
      <c r="B339" s="46" t="s">
        <v>199</v>
      </c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  <c r="AQ339" s="94"/>
      <c r="AR339" s="94"/>
      <c r="AS339" s="94"/>
      <c r="AT339" s="94"/>
      <c r="AU339" s="94"/>
      <c r="AV339" s="94"/>
      <c r="AW339" s="94"/>
      <c r="AX339" s="94"/>
      <c r="AY339" s="94"/>
      <c r="AZ339" s="94"/>
      <c r="BA339" s="94"/>
      <c r="BB339" s="94"/>
      <c r="BC339" s="94"/>
      <c r="BD339" s="94"/>
      <c r="BE339" s="94"/>
      <c r="BF339" s="94"/>
      <c r="BG339" s="94"/>
      <c r="BH339" s="94"/>
      <c r="BI339" s="94"/>
      <c r="BJ339" s="94"/>
      <c r="BK339" s="94"/>
      <c r="BL339" s="94"/>
      <c r="BM339" s="94"/>
      <c r="BN339" s="94"/>
      <c r="BO339" s="94"/>
      <c r="BP339" s="94"/>
      <c r="BQ339" s="94"/>
      <c r="BR339" s="94"/>
      <c r="BS339" s="94"/>
      <c r="BT339" s="94"/>
      <c r="BU339" s="94"/>
      <c r="BV339" s="94"/>
      <c r="BW339" s="94"/>
      <c r="BX339" s="94"/>
      <c r="BY339" s="94"/>
      <c r="BZ339" s="94"/>
      <c r="CA339" s="94"/>
      <c r="CB339" s="94"/>
      <c r="CC339" s="94"/>
      <c r="CD339" s="94"/>
      <c r="CE339" s="94"/>
      <c r="CF339" s="94"/>
      <c r="CG339" s="94"/>
      <c r="CH339" s="94"/>
    </row>
    <row r="340" ht="12.75">
      <c r="B340" s="53" t="s">
        <v>224</v>
      </c>
    </row>
    <row r="342" spans="1:2" s="64" customFormat="1" ht="12.75">
      <c r="A342" s="120" t="s">
        <v>325</v>
      </c>
      <c r="B342" s="64" t="s">
        <v>356</v>
      </c>
    </row>
    <row r="343" spans="1:8" s="155" customFormat="1" ht="12.75">
      <c r="A343" s="154"/>
      <c r="B343" s="156" t="s">
        <v>2</v>
      </c>
      <c r="C343" s="156">
        <f>'приложение 1'!B7</f>
        <v>2019</v>
      </c>
      <c r="D343" s="156">
        <f>C343+1</f>
        <v>2020</v>
      </c>
      <c r="E343" s="156">
        <f>D343+1</f>
        <v>2021</v>
      </c>
      <c r="F343" s="156">
        <f>E343+1</f>
        <v>2022</v>
      </c>
      <c r="G343" s="156">
        <f>F343+1</f>
        <v>2023</v>
      </c>
      <c r="H343" s="156">
        <f>G343+1</f>
        <v>2024</v>
      </c>
    </row>
    <row r="344" spans="1:8" s="155" customFormat="1" ht="12.75">
      <c r="A344" s="154"/>
      <c r="B344" s="157" t="str">
        <f>'приложение 1'!A12</f>
        <v>Выручка </v>
      </c>
      <c r="C344" s="234">
        <f>'приложение 1'!B12</f>
        <v>21584.0625</v>
      </c>
      <c r="D344" s="234">
        <f>'приложение 1'!G12</f>
        <v>30217.6875</v>
      </c>
      <c r="E344" s="234">
        <f>'приложение 1'!L12</f>
        <v>31728.571875</v>
      </c>
      <c r="F344" s="234">
        <f>'приложение 1'!Q12</f>
        <v>33315.000468750004</v>
      </c>
      <c r="G344" s="234">
        <f>'приложение 1'!V12</f>
        <v>34980.75049218751</v>
      </c>
      <c r="H344" s="234">
        <f>'приложение 1'!AA12</f>
        <v>0</v>
      </c>
    </row>
    <row r="345" spans="1:8" s="155" customFormat="1" ht="12.75">
      <c r="A345" s="154"/>
      <c r="B345" s="157" t="str">
        <f>'приложение 1'!A13</f>
        <v>Переменные расходы</v>
      </c>
      <c r="C345" s="234">
        <f>'приложение 1'!B13</f>
        <v>9964.654752853654</v>
      </c>
      <c r="D345" s="234">
        <f>'приложение 1'!G13</f>
        <v>13950.516653995115</v>
      </c>
      <c r="E345" s="234">
        <f>'приложение 1'!L13</f>
        <v>14648.042486694872</v>
      </c>
      <c r="F345" s="234">
        <f>'приложение 1'!Q13</f>
        <v>15380.444611029616</v>
      </c>
      <c r="G345" s="234">
        <f>'приложение 1'!V13</f>
        <v>16149.4668415811</v>
      </c>
      <c r="H345" s="234">
        <f>'приложение 1'!AA13</f>
        <v>0</v>
      </c>
    </row>
    <row r="346" spans="1:8" s="155" customFormat="1" ht="12.75">
      <c r="A346" s="154"/>
      <c r="B346" s="157" t="str">
        <f>'приложение 1'!A20</f>
        <v>Валовая прибыль</v>
      </c>
      <c r="C346" s="234">
        <f aca="true" t="shared" si="15" ref="C346:H346">C344-C345</f>
        <v>11619.407747146346</v>
      </c>
      <c r="D346" s="234">
        <f t="shared" si="15"/>
        <v>16267.170846004885</v>
      </c>
      <c r="E346" s="234">
        <f t="shared" si="15"/>
        <v>17080.529388305127</v>
      </c>
      <c r="F346" s="234">
        <f t="shared" si="15"/>
        <v>17934.55585772039</v>
      </c>
      <c r="G346" s="234">
        <f t="shared" si="15"/>
        <v>18831.28365060641</v>
      </c>
      <c r="H346" s="234">
        <f t="shared" si="15"/>
        <v>0</v>
      </c>
    </row>
    <row r="347" spans="1:8" s="155" customFormat="1" ht="12.75">
      <c r="A347" s="154"/>
      <c r="B347" s="157" t="str">
        <f>'приложение 1'!A21</f>
        <v>Постоянные расходы</v>
      </c>
      <c r="C347" s="234">
        <f>'приложение 1'!B21+'приложение 1'!B30</f>
        <v>5460.4734578281505</v>
      </c>
      <c r="D347" s="234">
        <f>'приложение 1'!G21+'приложение 1'!G30</f>
        <v>7216.409927805543</v>
      </c>
      <c r="E347" s="234">
        <f>'приложение 1'!L21+'приложение 1'!L30</f>
        <v>7139.718803035655</v>
      </c>
      <c r="F347" s="234">
        <f>'приложение 1'!Q21+'приложение 1'!Q30</f>
        <v>7056.705868468849</v>
      </c>
      <c r="G347" s="234">
        <f>'приложение 1'!V21+'приложение 1'!V30</f>
        <v>6966.850004102933</v>
      </c>
      <c r="H347" s="234">
        <f>'приложение 1'!AA21</f>
        <v>0</v>
      </c>
    </row>
    <row r="348" spans="1:8" s="155" customFormat="1" ht="29.25" customHeight="1">
      <c r="A348" s="154"/>
      <c r="B348" s="157" t="s">
        <v>208</v>
      </c>
      <c r="C348" s="234">
        <f>C347/(C346/C344)</f>
        <v>10143.305317975384</v>
      </c>
      <c r="D348" s="234">
        <f>D347/(D346/D344)</f>
        <v>13405.110337540988</v>
      </c>
      <c r="E348" s="234">
        <f>E347/(E346/E344)</f>
        <v>13262.649889792687</v>
      </c>
      <c r="F348" s="234">
        <f>F347/(F346/F344)</f>
        <v>13108.446129412696</v>
      </c>
      <c r="G348" s="234">
        <f>G347/(G346/G344)</f>
        <v>12941.531030582311</v>
      </c>
      <c r="H348" s="234">
        <f>IF(H344=0,0,H347/(H346/H344))</f>
        <v>0</v>
      </c>
    </row>
    <row r="349" spans="1:8" s="155" customFormat="1" ht="12.75">
      <c r="A349" s="154"/>
      <c r="B349" s="157" t="s">
        <v>209</v>
      </c>
      <c r="C349" s="234">
        <f aca="true" t="shared" si="16" ref="C349:H349">C344-C348</f>
        <v>11440.757182024616</v>
      </c>
      <c r="D349" s="234">
        <f t="shared" si="16"/>
        <v>16812.577162459012</v>
      </c>
      <c r="E349" s="234">
        <f t="shared" si="16"/>
        <v>18465.921985207315</v>
      </c>
      <c r="F349" s="234">
        <f t="shared" si="16"/>
        <v>20206.55433933731</v>
      </c>
      <c r="G349" s="234">
        <f t="shared" si="16"/>
        <v>22039.219461605197</v>
      </c>
      <c r="H349" s="234">
        <f t="shared" si="16"/>
        <v>0</v>
      </c>
    </row>
    <row r="350" spans="1:8" s="155" customFormat="1" ht="25.5">
      <c r="A350" s="154"/>
      <c r="B350" s="157" t="s">
        <v>210</v>
      </c>
      <c r="C350" s="242">
        <f>100-C348*100/C344</f>
        <v>53.00557845412381</v>
      </c>
      <c r="D350" s="242">
        <f>100-D348*100/D344</f>
        <v>55.6381991919766</v>
      </c>
      <c r="E350" s="242">
        <f>100-E348*100/E344</f>
        <v>58.19966324975764</v>
      </c>
      <c r="F350" s="242">
        <f>100-F348*100/F344</f>
        <v>60.65302132680855</v>
      </c>
      <c r="G350" s="242">
        <f>100-G348*100/G344</f>
        <v>63.00384969306867</v>
      </c>
      <c r="H350" s="242">
        <f>IF(H344=0,0,100-H348*100/H344)</f>
        <v>0</v>
      </c>
    </row>
    <row r="351" s="64" customFormat="1" ht="12.75">
      <c r="A351" s="120"/>
    </row>
    <row r="352" spans="1:2" s="64" customFormat="1" ht="12.75">
      <c r="A352" s="120" t="s">
        <v>358</v>
      </c>
      <c r="B352" s="64" t="s">
        <v>357</v>
      </c>
    </row>
    <row r="353" spans="2:9" s="120" customFormat="1" ht="12.75" hidden="1" outlineLevel="1">
      <c r="B353" s="120" t="s">
        <v>2</v>
      </c>
      <c r="C353" s="284">
        <f>C343</f>
        <v>2019</v>
      </c>
      <c r="D353" s="284"/>
      <c r="E353" s="120">
        <f>D343</f>
        <v>2020</v>
      </c>
      <c r="F353" s="120">
        <f>E343</f>
        <v>2021</v>
      </c>
      <c r="G353" s="120">
        <f>F343</f>
        <v>2022</v>
      </c>
      <c r="H353" s="120">
        <f>G343</f>
        <v>2023</v>
      </c>
      <c r="I353" s="120">
        <f>H343</f>
        <v>2024</v>
      </c>
    </row>
    <row r="354" spans="1:9" s="64" customFormat="1" ht="12.75" hidden="1" outlineLevel="1">
      <c r="A354" s="120"/>
      <c r="B354" s="64" t="s">
        <v>221</v>
      </c>
      <c r="C354" s="158">
        <f>'приложение 2'!B19</f>
        <v>-5000.445175</v>
      </c>
      <c r="D354" s="158">
        <f>'приложение 2'!B16/((1+C290/100)^1)</f>
        <v>5937.346301587525</v>
      </c>
      <c r="E354" s="158">
        <f>'приложение 2'!G16/((1+C290/100)^2)</f>
        <v>7922.257376701775</v>
      </c>
      <c r="F354" s="158">
        <f>'приложение 2'!L16/((1+C290/100)^3)</f>
        <v>7910.438719150235</v>
      </c>
      <c r="G354" s="158">
        <f>'приложение 2'!Q16/((1+C290/100)^4)</f>
        <v>7883.340052090706</v>
      </c>
      <c r="H354" s="158">
        <f>'приложение 2'!V16/((1+C290/100)^4)</f>
        <v>8469.944905658078</v>
      </c>
      <c r="I354" s="158">
        <f>'приложение 2'!AA16/((1+C290/100)^6)</f>
        <v>0</v>
      </c>
    </row>
    <row r="355" spans="1:9" s="64" customFormat="1" ht="12.75" hidden="1" outlineLevel="1">
      <c r="A355" s="120"/>
      <c r="B355" s="64" t="s">
        <v>222</v>
      </c>
      <c r="C355" s="158">
        <f>C354</f>
        <v>-5000.445175</v>
      </c>
      <c r="D355" s="158">
        <f aca="true" t="shared" si="17" ref="D355:I355">C355+D354</f>
        <v>936.9011265875251</v>
      </c>
      <c r="E355" s="158">
        <f t="shared" si="17"/>
        <v>8859.1585032893</v>
      </c>
      <c r="F355" s="158">
        <f t="shared" si="17"/>
        <v>16769.597222439534</v>
      </c>
      <c r="G355" s="158">
        <f t="shared" si="17"/>
        <v>24652.93727453024</v>
      </c>
      <c r="H355" s="158">
        <f t="shared" si="17"/>
        <v>33122.88218018832</v>
      </c>
      <c r="I355" s="158">
        <f t="shared" si="17"/>
        <v>33122.88218018832</v>
      </c>
    </row>
    <row r="356" spans="1:8" s="160" customFormat="1" ht="25.5" collapsed="1">
      <c r="A356" s="159"/>
      <c r="B356" s="72" t="s">
        <v>2</v>
      </c>
      <c r="C356" s="165" t="s">
        <v>212</v>
      </c>
      <c r="D356" s="165" t="s">
        <v>3</v>
      </c>
      <c r="E356" s="165" t="s">
        <v>215</v>
      </c>
      <c r="F356" s="161"/>
      <c r="G356" s="161"/>
      <c r="H356" s="161"/>
    </row>
    <row r="357" spans="1:8" s="160" customFormat="1" ht="12.75">
      <c r="A357" s="159"/>
      <c r="B357" s="73" t="s">
        <v>211</v>
      </c>
      <c r="C357" s="217">
        <f>SUM(C354:I354)</f>
        <v>33122.88218018832</v>
      </c>
      <c r="D357" s="165" t="str">
        <f>D24</f>
        <v>тыс. руб.</v>
      </c>
      <c r="E357" s="166" t="s">
        <v>216</v>
      </c>
      <c r="F357" s="161"/>
      <c r="G357" s="161"/>
      <c r="H357" s="161"/>
    </row>
    <row r="358" spans="1:5" s="160" customFormat="1" ht="12.75">
      <c r="A358" s="159"/>
      <c r="B358" s="73" t="s">
        <v>0</v>
      </c>
      <c r="C358" s="237">
        <f>SUM(D354:H354)/(-C354)</f>
        <v>7.623986669384555</v>
      </c>
      <c r="D358" s="72" t="s">
        <v>30</v>
      </c>
      <c r="E358" s="156" t="s">
        <v>217</v>
      </c>
    </row>
    <row r="359" spans="1:5" s="160" customFormat="1" ht="25.5">
      <c r="A359" s="159"/>
      <c r="B359" s="73" t="s">
        <v>1</v>
      </c>
      <c r="C359" s="246">
        <f>IRR(C354:I354)</f>
        <v>1.3360197049716303</v>
      </c>
      <c r="D359" s="72" t="s">
        <v>34</v>
      </c>
      <c r="E359" s="156" t="s">
        <v>218</v>
      </c>
    </row>
    <row r="360" spans="1:5" s="64" customFormat="1" ht="25.5" customHeight="1">
      <c r="A360" s="120"/>
      <c r="B360" s="286" t="s">
        <v>223</v>
      </c>
      <c r="C360" s="247">
        <f>(-C354)/D354</f>
        <v>0.8422020412828174</v>
      </c>
      <c r="D360" s="119" t="s">
        <v>35</v>
      </c>
      <c r="E360" s="285" t="s">
        <v>220</v>
      </c>
    </row>
    <row r="361" spans="2:5" ht="25.5" customHeight="1">
      <c r="B361" s="286"/>
      <c r="C361" s="243">
        <f>C360*12</f>
        <v>10.106424495393808</v>
      </c>
      <c r="D361" s="119" t="s">
        <v>219</v>
      </c>
      <c r="E361" s="285"/>
    </row>
    <row r="362" spans="1:9" s="163" customFormat="1" ht="12.75" hidden="1" outlineLevel="1">
      <c r="A362" s="162"/>
      <c r="D362" s="164">
        <f>IF(D355&gt;0,(-C355)/D354,1)</f>
        <v>0.8422020412828174</v>
      </c>
      <c r="E362" s="163">
        <f>IF(E355&gt;0,0,1)</f>
        <v>0</v>
      </c>
      <c r="F362" s="163">
        <f>IF(F355&gt;0,0,1)</f>
        <v>0</v>
      </c>
      <c r="G362" s="163">
        <f>IF(G355&gt;0,0,1)</f>
        <v>0</v>
      </c>
      <c r="H362" s="163">
        <f>IF(H355&gt;0,0,1)</f>
        <v>0</v>
      </c>
      <c r="I362" s="163">
        <f>IF(I355&gt;0,0,1)</f>
        <v>0</v>
      </c>
    </row>
    <row r="363" ht="12.75" hidden="1" outlineLevel="1"/>
    <row r="364" ht="12.75" collapsed="1"/>
  </sheetData>
  <sheetProtection/>
  <mergeCells count="46">
    <mergeCell ref="C353:D353"/>
    <mergeCell ref="E360:E361"/>
    <mergeCell ref="B360:B361"/>
    <mergeCell ref="F140:G140"/>
    <mergeCell ref="B121:D121"/>
    <mergeCell ref="B118:D118"/>
    <mergeCell ref="B119:D119"/>
    <mergeCell ref="B120:D120"/>
    <mergeCell ref="B154:B155"/>
    <mergeCell ref="C154:C155"/>
    <mergeCell ref="C140:C141"/>
    <mergeCell ref="D140:E140"/>
    <mergeCell ref="B328:B329"/>
    <mergeCell ref="C328:F328"/>
    <mergeCell ref="C293:G293"/>
    <mergeCell ref="C300:G300"/>
    <mergeCell ref="G301:G302"/>
    <mergeCell ref="F154:G154"/>
    <mergeCell ref="G322:G323"/>
    <mergeCell ref="C238:D238"/>
    <mergeCell ref="B208:I208"/>
    <mergeCell ref="B227:D227"/>
    <mergeCell ref="B321:B322"/>
    <mergeCell ref="C321:F321"/>
    <mergeCell ref="B238:B239"/>
    <mergeCell ref="G294:G295"/>
    <mergeCell ref="G329:G330"/>
    <mergeCell ref="B289:C289"/>
    <mergeCell ref="B300:B301"/>
    <mergeCell ref="B293:B294"/>
    <mergeCell ref="B307:B308"/>
    <mergeCell ref="C307:F307"/>
    <mergeCell ref="G315:G316"/>
    <mergeCell ref="B314:B315"/>
    <mergeCell ref="C314:F314"/>
    <mergeCell ref="G308:G309"/>
    <mergeCell ref="B199:D199"/>
    <mergeCell ref="B59:D59"/>
    <mergeCell ref="B65:D65"/>
    <mergeCell ref="B72:D72"/>
    <mergeCell ref="B80:D80"/>
    <mergeCell ref="B86:D86"/>
    <mergeCell ref="B192:E192"/>
    <mergeCell ref="B175:E175"/>
    <mergeCell ref="D154:E154"/>
    <mergeCell ref="B140:B141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P47"/>
  <sheetViews>
    <sheetView showZeros="0" zoomScale="80" zoomScaleNormal="80" zoomScalePageLayoutView="0" workbookViewId="0" topLeftCell="A1">
      <pane xSplit="1" ySplit="11" topLeftCell="V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H1" sqref="AH1:AI16384"/>
    </sheetView>
  </sheetViews>
  <sheetFormatPr defaultColWidth="9.140625" defaultRowHeight="12.75" outlineLevelRow="1"/>
  <cols>
    <col min="1" max="1" width="43.8515625" style="2" customWidth="1"/>
    <col min="2" max="2" width="10.28125" style="1" customWidth="1"/>
    <col min="3" max="3" width="8.28125" style="1" customWidth="1"/>
    <col min="4" max="4" width="9.57421875" style="1" customWidth="1"/>
    <col min="5" max="5" width="9.00390625" style="1" customWidth="1"/>
    <col min="6" max="6" width="8.7109375" style="1" customWidth="1"/>
    <col min="7" max="7" width="9.00390625" style="10" customWidth="1"/>
    <col min="8" max="8" width="8.140625" style="10" customWidth="1"/>
    <col min="9" max="9" width="8.57421875" style="10" customWidth="1"/>
    <col min="10" max="13" width="8.421875" style="10" customWidth="1"/>
    <col min="14" max="14" width="9.8515625" style="10" customWidth="1"/>
    <col min="15" max="15" width="8.8515625" style="10" customWidth="1"/>
    <col min="16" max="16" width="9.00390625" style="10" customWidth="1"/>
    <col min="17" max="17" width="11.140625" style="10" customWidth="1"/>
    <col min="18" max="18" width="9.57421875" style="10" customWidth="1"/>
    <col min="19" max="19" width="10.00390625" style="10" customWidth="1"/>
    <col min="20" max="20" width="8.421875" style="10" customWidth="1"/>
    <col min="21" max="21" width="9.57421875" style="10" customWidth="1"/>
    <col min="22" max="26" width="10.140625" style="10" customWidth="1"/>
    <col min="27" max="31" width="10.140625" style="10" hidden="1" customWidth="1"/>
    <col min="32" max="32" width="9.140625" style="10" customWidth="1"/>
    <col min="33" max="33" width="9.140625" style="180" customWidth="1"/>
    <col min="34" max="36" width="10.28125" style="180" bestFit="1" customWidth="1"/>
    <col min="37" max="40" width="9.140625" style="180" customWidth="1"/>
    <col min="41" max="42" width="9.140625" style="117" customWidth="1"/>
    <col min="43" max="94" width="9.140625" style="178" customWidth="1"/>
    <col min="95" max="16384" width="9.140625" style="1" customWidth="1"/>
  </cols>
  <sheetData>
    <row r="1" spans="1:40" s="96" customFormat="1" ht="18">
      <c r="A1" s="108"/>
      <c r="B1" s="109" t="str">
        <f>'таблицы в текст'!B1</f>
        <v>НАЗВАНИЕ ПРОЕКТА:</v>
      </c>
      <c r="C1" s="110"/>
      <c r="D1" s="110"/>
      <c r="E1" s="45" t="str">
        <f>'таблицы в текст'!C1</f>
        <v>Бизнес-план организации производства замороженных полуфабрикатов в п. ХХХ ХХХ района Республики Саха (Якутия)</v>
      </c>
      <c r="AG1" s="179"/>
      <c r="AH1" s="179"/>
      <c r="AI1" s="179"/>
      <c r="AJ1" s="179"/>
      <c r="AK1" s="179"/>
      <c r="AL1" s="179"/>
      <c r="AM1" s="179"/>
      <c r="AN1" s="179"/>
    </row>
    <row r="3" spans="1:94" s="3" customFormat="1" ht="20.25">
      <c r="A3" s="111" t="s">
        <v>162</v>
      </c>
      <c r="B3" s="112"/>
      <c r="C3" s="112"/>
      <c r="D3" s="113"/>
      <c r="E3" s="113"/>
      <c r="F3" s="113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80"/>
      <c r="AH3" s="180"/>
      <c r="AI3" s="180"/>
      <c r="AJ3" s="180"/>
      <c r="AK3" s="180"/>
      <c r="AL3" s="180"/>
      <c r="AM3" s="180"/>
      <c r="AN3" s="180"/>
      <c r="AO3" s="117"/>
      <c r="AP3" s="117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s="3" customFormat="1" ht="18.75">
      <c r="A4" s="5"/>
      <c r="B4" s="7"/>
      <c r="C4" s="7"/>
      <c r="D4" s="7"/>
      <c r="E4" s="7"/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80"/>
      <c r="AH4" s="180"/>
      <c r="AI4" s="180"/>
      <c r="AJ4" s="180"/>
      <c r="AK4" s="180"/>
      <c r="AL4" s="180"/>
      <c r="AM4" s="180"/>
      <c r="AN4" s="180"/>
      <c r="AO4" s="117"/>
      <c r="AP4" s="11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s="3" customFormat="1" ht="18.75">
      <c r="A5" s="98" t="s">
        <v>165</v>
      </c>
      <c r="D5" s="21"/>
      <c r="E5" s="21"/>
      <c r="F5" s="2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80"/>
      <c r="AH5" s="180"/>
      <c r="AI5" s="180"/>
      <c r="AJ5" s="180"/>
      <c r="AK5" s="180"/>
      <c r="AL5" s="180"/>
      <c r="AM5" s="180"/>
      <c r="AN5" s="180"/>
      <c r="AO5" s="117"/>
      <c r="AP5" s="117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42" s="4" customFormat="1" ht="18.75">
      <c r="A6" s="115"/>
      <c r="D6" s="116"/>
      <c r="E6" s="116"/>
      <c r="F6" s="116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80"/>
      <c r="AH6" s="180"/>
      <c r="AI6" s="180"/>
      <c r="AJ6" s="180"/>
      <c r="AK6" s="180"/>
      <c r="AL6" s="180"/>
      <c r="AM6" s="180"/>
      <c r="AN6" s="180"/>
      <c r="AO6" s="117"/>
      <c r="AP6" s="117"/>
    </row>
    <row r="7" spans="1:94" s="8" customFormat="1" ht="12.75">
      <c r="A7" s="291" t="s">
        <v>5</v>
      </c>
      <c r="B7" s="291">
        <f>'таблицы в текст'!D33</f>
        <v>2019</v>
      </c>
      <c r="C7" s="291"/>
      <c r="D7" s="291"/>
      <c r="E7" s="291"/>
      <c r="F7" s="291"/>
      <c r="G7" s="291">
        <f>B7+1</f>
        <v>2020</v>
      </c>
      <c r="H7" s="291"/>
      <c r="I7" s="291"/>
      <c r="J7" s="291"/>
      <c r="K7" s="291"/>
      <c r="L7" s="291">
        <f>G7+1</f>
        <v>2021</v>
      </c>
      <c r="M7" s="291"/>
      <c r="N7" s="291"/>
      <c r="O7" s="291"/>
      <c r="P7" s="291"/>
      <c r="Q7" s="291">
        <f>L7+1</f>
        <v>2022</v>
      </c>
      <c r="R7" s="291"/>
      <c r="S7" s="291"/>
      <c r="T7" s="291"/>
      <c r="U7" s="291"/>
      <c r="V7" s="292">
        <f>Q7+1</f>
        <v>2023</v>
      </c>
      <c r="W7" s="293"/>
      <c r="X7" s="293"/>
      <c r="Y7" s="293"/>
      <c r="Z7" s="294"/>
      <c r="AA7" s="126"/>
      <c r="AB7" s="292">
        <f>V7+1</f>
        <v>2024</v>
      </c>
      <c r="AC7" s="293"/>
      <c r="AD7" s="293"/>
      <c r="AE7" s="294"/>
      <c r="AF7" s="291" t="s">
        <v>10</v>
      </c>
      <c r="AG7" s="173"/>
      <c r="AH7" s="173"/>
      <c r="AI7" s="173"/>
      <c r="AJ7" s="173"/>
      <c r="AK7" s="173"/>
      <c r="AL7" s="173"/>
      <c r="AM7" s="173"/>
      <c r="AN7" s="173"/>
      <c r="AO7" s="11"/>
      <c r="AP7" s="11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</row>
    <row r="8" spans="1:94" s="8" customFormat="1" ht="12.75">
      <c r="A8" s="291"/>
      <c r="B8" s="291" t="s">
        <v>6</v>
      </c>
      <c r="C8" s="291" t="s">
        <v>7</v>
      </c>
      <c r="D8" s="291"/>
      <c r="E8" s="291"/>
      <c r="F8" s="291"/>
      <c r="G8" s="291" t="s">
        <v>6</v>
      </c>
      <c r="H8" s="291"/>
      <c r="I8" s="291"/>
      <c r="J8" s="291"/>
      <c r="K8" s="291"/>
      <c r="L8" s="291" t="s">
        <v>6</v>
      </c>
      <c r="M8" s="291"/>
      <c r="N8" s="291"/>
      <c r="O8" s="291"/>
      <c r="P8" s="291"/>
      <c r="Q8" s="291" t="s">
        <v>6</v>
      </c>
      <c r="R8" s="291"/>
      <c r="S8" s="291"/>
      <c r="T8" s="291"/>
      <c r="U8" s="291"/>
      <c r="V8" s="291" t="s">
        <v>6</v>
      </c>
      <c r="W8" s="291"/>
      <c r="X8" s="291"/>
      <c r="Y8" s="20"/>
      <c r="Z8" s="20"/>
      <c r="AA8" s="295"/>
      <c r="AB8" s="20"/>
      <c r="AC8" s="20"/>
      <c r="AD8" s="20"/>
      <c r="AE8" s="20"/>
      <c r="AF8" s="291"/>
      <c r="AG8" s="173"/>
      <c r="AH8" s="173"/>
      <c r="AI8" s="173"/>
      <c r="AJ8" s="173"/>
      <c r="AK8" s="173"/>
      <c r="AL8" s="173"/>
      <c r="AM8" s="173"/>
      <c r="AN8" s="173"/>
      <c r="AO8" s="11"/>
      <c r="AP8" s="11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</row>
    <row r="9" spans="1:94" s="8" customFormat="1" ht="12.75">
      <c r="A9" s="291"/>
      <c r="B9" s="291"/>
      <c r="C9" s="20">
        <v>1</v>
      </c>
      <c r="D9" s="20">
        <v>2</v>
      </c>
      <c r="E9" s="20">
        <v>3</v>
      </c>
      <c r="F9" s="20">
        <v>4</v>
      </c>
      <c r="G9" s="291"/>
      <c r="H9" s="20">
        <f aca="true" t="shared" si="0" ref="H9:K10">C9</f>
        <v>1</v>
      </c>
      <c r="I9" s="20">
        <f t="shared" si="0"/>
        <v>2</v>
      </c>
      <c r="J9" s="20">
        <f t="shared" si="0"/>
        <v>3</v>
      </c>
      <c r="K9" s="20">
        <f t="shared" si="0"/>
        <v>4</v>
      </c>
      <c r="L9" s="291"/>
      <c r="M9" s="20">
        <f aca="true" t="shared" si="1" ref="M9:P10">H9</f>
        <v>1</v>
      </c>
      <c r="N9" s="20">
        <f t="shared" si="1"/>
        <v>2</v>
      </c>
      <c r="O9" s="20">
        <f t="shared" si="1"/>
        <v>3</v>
      </c>
      <c r="P9" s="20">
        <f t="shared" si="1"/>
        <v>4</v>
      </c>
      <c r="Q9" s="291"/>
      <c r="R9" s="20">
        <f aca="true" t="shared" si="2" ref="R9:U10">M9</f>
        <v>1</v>
      </c>
      <c r="S9" s="20">
        <f t="shared" si="2"/>
        <v>2</v>
      </c>
      <c r="T9" s="20">
        <f t="shared" si="2"/>
        <v>3</v>
      </c>
      <c r="U9" s="20">
        <f t="shared" si="2"/>
        <v>4</v>
      </c>
      <c r="V9" s="291"/>
      <c r="W9" s="20">
        <f aca="true" t="shared" si="3" ref="W9:Z10">R9</f>
        <v>1</v>
      </c>
      <c r="X9" s="20">
        <f t="shared" si="3"/>
        <v>2</v>
      </c>
      <c r="Y9" s="20">
        <f t="shared" si="3"/>
        <v>3</v>
      </c>
      <c r="Z9" s="20">
        <f t="shared" si="3"/>
        <v>4</v>
      </c>
      <c r="AA9" s="296"/>
      <c r="AB9" s="20">
        <f>W9</f>
        <v>1</v>
      </c>
      <c r="AC9" s="20">
        <f aca="true" t="shared" si="4" ref="AC9:AE11">X9</f>
        <v>2</v>
      </c>
      <c r="AD9" s="20">
        <f t="shared" si="4"/>
        <v>3</v>
      </c>
      <c r="AE9" s="20">
        <f t="shared" si="4"/>
        <v>4</v>
      </c>
      <c r="AF9" s="291"/>
      <c r="AG9" s="173"/>
      <c r="AH9" s="173"/>
      <c r="AI9" s="173"/>
      <c r="AJ9" s="173"/>
      <c r="AK9" s="173"/>
      <c r="AL9" s="173"/>
      <c r="AM9" s="173"/>
      <c r="AN9" s="173"/>
      <c r="AO9" s="11"/>
      <c r="AP9" s="11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</row>
    <row r="10" spans="1:94" s="8" customFormat="1" ht="12.75" hidden="1">
      <c r="A10" s="20"/>
      <c r="B10" s="20">
        <f>SUM(C10:F10)</f>
        <v>299</v>
      </c>
      <c r="C10" s="20">
        <f>SUM('таблицы в текст'!C137:E137)</f>
        <v>68</v>
      </c>
      <c r="D10" s="20">
        <f>SUM('таблицы в текст'!F137:H137)</f>
        <v>74</v>
      </c>
      <c r="E10" s="20">
        <f>SUM('таблицы в текст'!I137:K137)</f>
        <v>79</v>
      </c>
      <c r="F10" s="20">
        <f>SUM('таблицы в текст'!L137:N137)</f>
        <v>78</v>
      </c>
      <c r="G10" s="20">
        <f>SUM(H10:K10)</f>
        <v>299</v>
      </c>
      <c r="H10" s="20">
        <f t="shared" si="0"/>
        <v>68</v>
      </c>
      <c r="I10" s="20">
        <f t="shared" si="0"/>
        <v>74</v>
      </c>
      <c r="J10" s="20">
        <f t="shared" si="0"/>
        <v>79</v>
      </c>
      <c r="K10" s="20">
        <f t="shared" si="0"/>
        <v>78</v>
      </c>
      <c r="L10" s="20">
        <f>SUM(M10:P10)</f>
        <v>299</v>
      </c>
      <c r="M10" s="20">
        <f t="shared" si="1"/>
        <v>68</v>
      </c>
      <c r="N10" s="20">
        <f t="shared" si="1"/>
        <v>74</v>
      </c>
      <c r="O10" s="20">
        <f t="shared" si="1"/>
        <v>79</v>
      </c>
      <c r="P10" s="20">
        <f t="shared" si="1"/>
        <v>78</v>
      </c>
      <c r="Q10" s="20">
        <f>SUM(R10:U10)</f>
        <v>299</v>
      </c>
      <c r="R10" s="20">
        <f t="shared" si="2"/>
        <v>68</v>
      </c>
      <c r="S10" s="20">
        <f t="shared" si="2"/>
        <v>74</v>
      </c>
      <c r="T10" s="20">
        <f t="shared" si="2"/>
        <v>79</v>
      </c>
      <c r="U10" s="20">
        <f t="shared" si="2"/>
        <v>78</v>
      </c>
      <c r="V10" s="20">
        <f>SUM(W10:Z10)</f>
        <v>299</v>
      </c>
      <c r="W10" s="20">
        <f t="shared" si="3"/>
        <v>68</v>
      </c>
      <c r="X10" s="20">
        <f t="shared" si="3"/>
        <v>74</v>
      </c>
      <c r="Y10" s="20">
        <f t="shared" si="3"/>
        <v>79</v>
      </c>
      <c r="Z10" s="20">
        <f t="shared" si="3"/>
        <v>78</v>
      </c>
      <c r="AA10" s="20"/>
      <c r="AB10" s="20">
        <f>W10</f>
        <v>68</v>
      </c>
      <c r="AC10" s="20">
        <f t="shared" si="4"/>
        <v>74</v>
      </c>
      <c r="AD10" s="20">
        <f t="shared" si="4"/>
        <v>79</v>
      </c>
      <c r="AE10" s="20">
        <f t="shared" si="4"/>
        <v>78</v>
      </c>
      <c r="AF10" s="20"/>
      <c r="AG10" s="173"/>
      <c r="AH10" s="173"/>
      <c r="AI10" s="173"/>
      <c r="AJ10" s="173"/>
      <c r="AK10" s="173"/>
      <c r="AL10" s="173"/>
      <c r="AM10" s="173"/>
      <c r="AN10" s="173"/>
      <c r="AO10" s="11"/>
      <c r="AP10" s="11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</row>
    <row r="11" spans="1:94" s="125" customFormat="1" ht="15" customHeight="1" hidden="1">
      <c r="A11" s="123"/>
      <c r="B11" s="123"/>
      <c r="C11" s="123"/>
      <c r="D11" s="123"/>
      <c r="E11" s="123"/>
      <c r="F11" s="123"/>
      <c r="G11" s="123"/>
      <c r="H11" s="124">
        <f>'таблицы в текст'!B132</f>
        <v>0.05</v>
      </c>
      <c r="I11" s="124">
        <f>H11</f>
        <v>0.05</v>
      </c>
      <c r="J11" s="124">
        <f>I11</f>
        <v>0.05</v>
      </c>
      <c r="K11" s="124">
        <f>J11</f>
        <v>0.05</v>
      </c>
      <c r="L11" s="123"/>
      <c r="M11" s="124">
        <f>'таблицы в текст'!C132</f>
        <v>0.05</v>
      </c>
      <c r="N11" s="124">
        <f>M11</f>
        <v>0.05</v>
      </c>
      <c r="O11" s="124">
        <f>N11</f>
        <v>0.05</v>
      </c>
      <c r="P11" s="124">
        <f>O11</f>
        <v>0.05</v>
      </c>
      <c r="Q11" s="123"/>
      <c r="R11" s="124">
        <f>'таблицы в текст'!D132</f>
        <v>0.05</v>
      </c>
      <c r="S11" s="124">
        <f>R11</f>
        <v>0.05</v>
      </c>
      <c r="T11" s="124">
        <f>S11</f>
        <v>0.05</v>
      </c>
      <c r="U11" s="124">
        <f>T11</f>
        <v>0.05</v>
      </c>
      <c r="V11" s="123"/>
      <c r="W11" s="124">
        <f>'таблицы в текст'!E132</f>
        <v>0.05</v>
      </c>
      <c r="X11" s="124">
        <f>W11</f>
        <v>0.05</v>
      </c>
      <c r="Y11" s="124">
        <f>X11</f>
        <v>0.05</v>
      </c>
      <c r="Z11" s="124">
        <f>Y11</f>
        <v>0.05</v>
      </c>
      <c r="AA11" s="124"/>
      <c r="AB11" s="122">
        <f>W11</f>
        <v>0.05</v>
      </c>
      <c r="AC11" s="122">
        <f t="shared" si="4"/>
        <v>0.05</v>
      </c>
      <c r="AD11" s="122">
        <f t="shared" si="4"/>
        <v>0.05</v>
      </c>
      <c r="AE11" s="122">
        <f t="shared" si="4"/>
        <v>0.05</v>
      </c>
      <c r="AF11" s="12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</row>
    <row r="12" spans="1:94" s="8" customFormat="1" ht="15" customHeight="1">
      <c r="A12" s="12" t="s">
        <v>166</v>
      </c>
      <c r="B12" s="28">
        <f>SUM(C12:F12)</f>
        <v>21584.0625</v>
      </c>
      <c r="C12" s="28">
        <f>IF('таблицы в текст'!$D$38=1,'таблицы в текст'!$G$148/'таблицы в текст'!$O$137*'приложение 1'!C10,0)</f>
        <v>0</v>
      </c>
      <c r="D12" s="28">
        <f>IF('таблицы в текст'!$D$38&lt;3,'таблицы в текст'!$G$148*'таблицы в текст'!C128,0)</f>
        <v>7194.6875</v>
      </c>
      <c r="E12" s="28">
        <f>IF('таблицы в текст'!$D$38&lt;4,'таблицы в текст'!$G$148*'таблицы в текст'!D128,0)</f>
        <v>7194.6875</v>
      </c>
      <c r="F12" s="28">
        <f>IF('таблицы в текст'!$D$38&lt;5,'таблицы в текст'!$G$148*'таблицы в текст'!E128,0)</f>
        <v>7194.6875</v>
      </c>
      <c r="G12" s="28">
        <f>SUM(H12:K12)</f>
        <v>30217.6875</v>
      </c>
      <c r="H12" s="28">
        <f>IF('таблицы в текст'!$D$38&lt;6,'таблицы в текст'!$G$148*'таблицы в текст'!B128*(100%+H11),0)*H37</f>
        <v>7554.421875</v>
      </c>
      <c r="I12" s="28">
        <f>IF('таблицы в текст'!$D$38&lt;7,'таблицы в текст'!$G$148*'таблицы в текст'!C128*(100%+'таблицы в текст'!C132),0)*I37</f>
        <v>7554.421875</v>
      </c>
      <c r="J12" s="28">
        <f>IF('таблицы в текст'!$D$38&lt;8,'таблицы в текст'!$G$148*'таблицы в текст'!D128*(100%+'таблицы в текст'!D132),0)*J37</f>
        <v>7554.421875</v>
      </c>
      <c r="K12" s="28">
        <f>IF('таблицы в текст'!$D$38&lt;9,'таблицы в текст'!$G$148*'таблицы в текст'!E128*(100%+'таблицы в текст'!E132),0)*1</f>
        <v>7554.421875</v>
      </c>
      <c r="L12" s="28">
        <f>SUM(M12:P12)</f>
        <v>31728.571875</v>
      </c>
      <c r="M12" s="28">
        <f>H12*(100%+M11)*M37</f>
        <v>7932.14296875</v>
      </c>
      <c r="N12" s="28">
        <f>I12*(100%+N11)*N37</f>
        <v>7932.14296875</v>
      </c>
      <c r="O12" s="28">
        <f>J12*(100%+O11)*O37</f>
        <v>7932.14296875</v>
      </c>
      <c r="P12" s="28">
        <f>K12*(100%+P11)*P37</f>
        <v>7932.14296875</v>
      </c>
      <c r="Q12" s="28">
        <f>SUM(R12:U12)</f>
        <v>33315.000468750004</v>
      </c>
      <c r="R12" s="28">
        <f>M12*(100%+R11)*R37</f>
        <v>8328.750117187501</v>
      </c>
      <c r="S12" s="28">
        <f>N12*(100%+S11)*S37</f>
        <v>8328.750117187501</v>
      </c>
      <c r="T12" s="28">
        <f>O12*(100%+T11)*T37</f>
        <v>8328.750117187501</v>
      </c>
      <c r="U12" s="28">
        <f>P12*(100%+U11)*U37</f>
        <v>8328.750117187501</v>
      </c>
      <c r="V12" s="28">
        <f>SUM(W12:Z12)</f>
        <v>34980.75049218751</v>
      </c>
      <c r="W12" s="28">
        <f>R12*(100%+W11)*W37</f>
        <v>8745.187623046877</v>
      </c>
      <c r="X12" s="28">
        <f>S12*(100%+X11)*X37</f>
        <v>8745.187623046877</v>
      </c>
      <c r="Y12" s="28">
        <f>T12*(100%+Y11)*Y37</f>
        <v>8745.187623046877</v>
      </c>
      <c r="Z12" s="28">
        <f>U12*(100%+Z11)*Z37</f>
        <v>8745.187623046877</v>
      </c>
      <c r="AA12" s="29">
        <f aca="true" t="shared" si="5" ref="AA12:AA29">SUM(AB12:AE12)</f>
        <v>0</v>
      </c>
      <c r="AB12" s="28">
        <f>IF('таблицы в текст'!$D$35&lt;2,0,W12*(100%+AB11)*AB37)</f>
        <v>0</v>
      </c>
      <c r="AC12" s="28">
        <f>IF('таблицы в текст'!$D$35&lt;3,0,X12*(100%+AC11)*AC37)</f>
        <v>0</v>
      </c>
      <c r="AD12" s="28">
        <f>IF('таблицы в текст'!$D$35&lt;4,0,Y12*(100%+AD11)*AD37)</f>
        <v>0</v>
      </c>
      <c r="AE12" s="28">
        <f>IF('таблицы в текст'!$D$35&lt;5,0,Z12*(100%+AE11)*AE37)</f>
        <v>0</v>
      </c>
      <c r="AF12" s="28">
        <f>AA12+V12+Q12+L12+G12+B12</f>
        <v>151826.07283593752</v>
      </c>
      <c r="AG12" s="173"/>
      <c r="AH12" s="181"/>
      <c r="AI12" s="181"/>
      <c r="AJ12" s="182"/>
      <c r="AK12" s="173"/>
      <c r="AL12" s="173"/>
      <c r="AM12" s="173"/>
      <c r="AN12" s="173"/>
      <c r="AO12" s="11"/>
      <c r="AP12" s="11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s="8" customFormat="1" ht="15" customHeight="1">
      <c r="A13" s="12" t="s">
        <v>171</v>
      </c>
      <c r="B13" s="28">
        <f>B15+B16+B17+B18+B19</f>
        <v>9964.654752853654</v>
      </c>
      <c r="C13" s="28">
        <f aca="true" t="shared" si="6" ref="C13:AF13">C15+C16+C17+C18+C19</f>
        <v>0</v>
      </c>
      <c r="D13" s="28">
        <f t="shared" si="6"/>
        <v>3321.551584284551</v>
      </c>
      <c r="E13" s="28">
        <f t="shared" si="6"/>
        <v>3321.551584284551</v>
      </c>
      <c r="F13" s="28">
        <f t="shared" si="6"/>
        <v>3321.551584284551</v>
      </c>
      <c r="G13" s="28">
        <f t="shared" si="6"/>
        <v>13950.516653995115</v>
      </c>
      <c r="H13" s="28">
        <f t="shared" si="6"/>
        <v>3487.629163498779</v>
      </c>
      <c r="I13" s="28">
        <f t="shared" si="6"/>
        <v>3487.629163498779</v>
      </c>
      <c r="J13" s="28">
        <f t="shared" si="6"/>
        <v>3487.629163498779</v>
      </c>
      <c r="K13" s="28">
        <f t="shared" si="6"/>
        <v>3487.629163498779</v>
      </c>
      <c r="L13" s="28">
        <f t="shared" si="6"/>
        <v>14648.042486694872</v>
      </c>
      <c r="M13" s="28">
        <f t="shared" si="6"/>
        <v>3662.010621673718</v>
      </c>
      <c r="N13" s="28">
        <f t="shared" si="6"/>
        <v>3662.010621673718</v>
      </c>
      <c r="O13" s="28">
        <f t="shared" si="6"/>
        <v>3662.010621673718</v>
      </c>
      <c r="P13" s="28">
        <f t="shared" si="6"/>
        <v>3662.010621673718</v>
      </c>
      <c r="Q13" s="28">
        <f t="shared" si="6"/>
        <v>15380.444611029616</v>
      </c>
      <c r="R13" s="28">
        <f t="shared" si="6"/>
        <v>3845.111152757404</v>
      </c>
      <c r="S13" s="28">
        <f t="shared" si="6"/>
        <v>3845.111152757404</v>
      </c>
      <c r="T13" s="28">
        <f t="shared" si="6"/>
        <v>3845.111152757404</v>
      </c>
      <c r="U13" s="28">
        <f t="shared" si="6"/>
        <v>3845.111152757404</v>
      </c>
      <c r="V13" s="28">
        <f t="shared" si="6"/>
        <v>16149.4668415811</v>
      </c>
      <c r="W13" s="28">
        <f t="shared" si="6"/>
        <v>4037.366710395275</v>
      </c>
      <c r="X13" s="28">
        <f t="shared" si="6"/>
        <v>4037.366710395275</v>
      </c>
      <c r="Y13" s="28">
        <f t="shared" si="6"/>
        <v>4037.366710395275</v>
      </c>
      <c r="Z13" s="28">
        <f t="shared" si="6"/>
        <v>4037.366710395275</v>
      </c>
      <c r="AA13" s="28">
        <f t="shared" si="6"/>
        <v>0</v>
      </c>
      <c r="AB13" s="28">
        <f t="shared" si="6"/>
        <v>0</v>
      </c>
      <c r="AC13" s="28">
        <f t="shared" si="6"/>
        <v>0</v>
      </c>
      <c r="AD13" s="28">
        <f t="shared" si="6"/>
        <v>0</v>
      </c>
      <c r="AE13" s="28">
        <f t="shared" si="6"/>
        <v>0</v>
      </c>
      <c r="AF13" s="28">
        <f t="shared" si="6"/>
        <v>70093.12534615435</v>
      </c>
      <c r="AG13" s="173"/>
      <c r="AH13" s="181"/>
      <c r="AI13" s="181"/>
      <c r="AJ13" s="182"/>
      <c r="AK13" s="173"/>
      <c r="AL13" s="173"/>
      <c r="AM13" s="173"/>
      <c r="AN13" s="173"/>
      <c r="AO13" s="11"/>
      <c r="AP13" s="11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</row>
    <row r="14" spans="1:94" s="8" customFormat="1" ht="15" customHeight="1">
      <c r="A14" s="12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>
        <f t="shared" si="5"/>
        <v>0</v>
      </c>
      <c r="AB14" s="28"/>
      <c r="AC14" s="28"/>
      <c r="AD14" s="28"/>
      <c r="AE14" s="28"/>
      <c r="AF14" s="28">
        <f aca="true" t="shared" si="7" ref="AF14:AF34">AA14+V14+Q14+L14+G14+B14</f>
        <v>0</v>
      </c>
      <c r="AG14" s="173"/>
      <c r="AH14" s="181"/>
      <c r="AI14" s="181"/>
      <c r="AJ14" s="182"/>
      <c r="AK14" s="173"/>
      <c r="AL14" s="173"/>
      <c r="AM14" s="173"/>
      <c r="AN14" s="173"/>
      <c r="AO14" s="11"/>
      <c r="AP14" s="11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</row>
    <row r="15" spans="1:94" s="8" customFormat="1" ht="15" customHeight="1">
      <c r="A15" s="128" t="str">
        <f>'таблицы в текст'!B240</f>
        <v>Материальные расходы</v>
      </c>
      <c r="B15" s="28">
        <f>SUM(C15:F15)</f>
        <v>9096.287455357146</v>
      </c>
      <c r="C15" s="28">
        <f>'таблицы в текст'!$C$240/$G$12*C12</f>
        <v>0</v>
      </c>
      <c r="D15" s="28">
        <f>'таблицы в текст'!$C$240/$G$12*D12</f>
        <v>3032.0958184523815</v>
      </c>
      <c r="E15" s="28">
        <f>'таблицы в текст'!$C$240/$G$12*E12</f>
        <v>3032.0958184523815</v>
      </c>
      <c r="F15" s="28">
        <f>'таблицы в текст'!$C$240/$G$12*F12</f>
        <v>3032.0958184523815</v>
      </c>
      <c r="G15" s="28">
        <f>SUM(H15:K15)</f>
        <v>12734.802437500002</v>
      </c>
      <c r="H15" s="28">
        <f>'таблицы в текст'!$C$240/$G$12*H12</f>
        <v>3183.7006093750006</v>
      </c>
      <c r="I15" s="28">
        <f>'таблицы в текст'!$C$240/$G$12*I12</f>
        <v>3183.7006093750006</v>
      </c>
      <c r="J15" s="28">
        <f>'таблицы в текст'!$C$240/$G$12*J12</f>
        <v>3183.7006093750006</v>
      </c>
      <c r="K15" s="28">
        <f>'таблицы в текст'!$C$240/$G$12*K12</f>
        <v>3183.7006093750006</v>
      </c>
      <c r="L15" s="28">
        <f>SUM(M15:P15)</f>
        <v>13371.542559375002</v>
      </c>
      <c r="M15" s="28">
        <f>'таблицы в текст'!$C$240/$G$12*M12</f>
        <v>3342.8856398437506</v>
      </c>
      <c r="N15" s="28">
        <f>'таблицы в текст'!$C$240/$G$12*N12</f>
        <v>3342.8856398437506</v>
      </c>
      <c r="O15" s="28">
        <f>'таблицы в текст'!$C$240/$G$12*O12</f>
        <v>3342.8856398437506</v>
      </c>
      <c r="P15" s="28">
        <f>'таблицы в текст'!$C$240/$G$12*P12</f>
        <v>3342.8856398437506</v>
      </c>
      <c r="Q15" s="28">
        <f>SUM(R15:U15)</f>
        <v>14040.119687343753</v>
      </c>
      <c r="R15" s="28">
        <f>'таблицы в текст'!$C$240/$G$12*R12</f>
        <v>3510.0299218359382</v>
      </c>
      <c r="S15" s="28">
        <f>'таблицы в текст'!$C$240/$G$12*S12</f>
        <v>3510.0299218359382</v>
      </c>
      <c r="T15" s="28">
        <f>'таблицы в текст'!$C$240/$G$12*T12</f>
        <v>3510.0299218359382</v>
      </c>
      <c r="U15" s="28">
        <f>'таблицы в текст'!$C$240/$G$12*U12</f>
        <v>3510.0299218359382</v>
      </c>
      <c r="V15" s="28">
        <f>SUM(W15:Z15)</f>
        <v>14742.125671710943</v>
      </c>
      <c r="W15" s="28">
        <f>'таблицы в текст'!$C$240/$G$12*W12</f>
        <v>3685.5314179277357</v>
      </c>
      <c r="X15" s="28">
        <f>'таблицы в текст'!$C$240/$G$12*X12</f>
        <v>3685.5314179277357</v>
      </c>
      <c r="Y15" s="28">
        <f>'таблицы в текст'!$C$240/$G$12*Y12</f>
        <v>3685.5314179277357</v>
      </c>
      <c r="Z15" s="28">
        <f>'таблицы в текст'!$C$240/$G$12*Z12</f>
        <v>3685.5314179277357</v>
      </c>
      <c r="AA15" s="29">
        <f t="shared" si="5"/>
        <v>0</v>
      </c>
      <c r="AB15" s="28">
        <f>'таблицы в текст'!$C$240/$G$12*AB12</f>
        <v>0</v>
      </c>
      <c r="AC15" s="28">
        <f>'таблицы в текст'!$C$240/$G$12*AC12</f>
        <v>0</v>
      </c>
      <c r="AD15" s="28">
        <f>'таблицы в текст'!$C$240/$G$12*AD12</f>
        <v>0</v>
      </c>
      <c r="AE15" s="28">
        <f>'таблицы в текст'!$C$240/$G$12*AE12</f>
        <v>0</v>
      </c>
      <c r="AF15" s="28">
        <f t="shared" si="7"/>
        <v>63984.877811286846</v>
      </c>
      <c r="AG15" s="173"/>
      <c r="AH15" s="181"/>
      <c r="AI15" s="181"/>
      <c r="AJ15" s="182"/>
      <c r="AK15" s="173"/>
      <c r="AL15" s="173"/>
      <c r="AM15" s="173"/>
      <c r="AN15" s="173"/>
      <c r="AO15" s="11"/>
      <c r="AP15" s="11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</row>
    <row r="16" spans="1:94" s="8" customFormat="1" ht="15" customHeight="1">
      <c r="A16" s="128" t="str">
        <f>'таблицы в текст'!B242</f>
        <v>Расходы на электроэнергию</v>
      </c>
      <c r="B16" s="28">
        <f>SUM(C16:F16)</f>
        <v>176.93747017142863</v>
      </c>
      <c r="C16" s="28">
        <f>'таблицы в текст'!$C$242/$G$12*C12</f>
        <v>0</v>
      </c>
      <c r="D16" s="28">
        <f>'таблицы в текст'!$C$242/$G$12*D12</f>
        <v>58.97915672380954</v>
      </c>
      <c r="E16" s="28">
        <f>'таблицы в текст'!$C$242/$G$12*E12</f>
        <v>58.97915672380954</v>
      </c>
      <c r="F16" s="28">
        <f>'таблицы в текст'!$C$242/$G$12*F12</f>
        <v>58.97915672380954</v>
      </c>
      <c r="G16" s="28">
        <f>SUM(H16:K16)</f>
        <v>247.71245824000005</v>
      </c>
      <c r="H16" s="28">
        <f>'таблицы в текст'!$C$242/$G$12*H12</f>
        <v>61.92811456000001</v>
      </c>
      <c r="I16" s="28">
        <f>'таблицы в текст'!$C$242/$G$12*I12</f>
        <v>61.92811456000001</v>
      </c>
      <c r="J16" s="28">
        <f>'таблицы в текст'!$C$242/$G$12*J12</f>
        <v>61.92811456000001</v>
      </c>
      <c r="K16" s="28">
        <f>'таблицы в текст'!$C$242/$G$12*K12</f>
        <v>61.92811456000001</v>
      </c>
      <c r="L16" s="28">
        <f>SUM(M16:P16)</f>
        <v>260.0980811520001</v>
      </c>
      <c r="M16" s="28">
        <f>'таблицы в текст'!$C$242/$G$12*M12</f>
        <v>65.02452028800002</v>
      </c>
      <c r="N16" s="28">
        <f>'таблицы в текст'!$C$242/$G$12*N12</f>
        <v>65.02452028800002</v>
      </c>
      <c r="O16" s="28">
        <f>'таблицы в текст'!$C$242/$G$12*O12</f>
        <v>65.02452028800002</v>
      </c>
      <c r="P16" s="28">
        <f>'таблицы в текст'!$C$242/$G$12*P12</f>
        <v>65.02452028800002</v>
      </c>
      <c r="Q16" s="28">
        <f>SUM(R16:U16)</f>
        <v>273.1029852096001</v>
      </c>
      <c r="R16" s="28">
        <f>'таблицы в текст'!$C$242/$G$12*R12</f>
        <v>68.27574630240002</v>
      </c>
      <c r="S16" s="28">
        <f>'таблицы в текст'!$C$242/$G$12*S12</f>
        <v>68.27574630240002</v>
      </c>
      <c r="T16" s="28">
        <f>'таблицы в текст'!$C$242/$G$12*T12</f>
        <v>68.27574630240002</v>
      </c>
      <c r="U16" s="28">
        <f>'таблицы в текст'!$C$242/$G$12*U12</f>
        <v>68.27574630240002</v>
      </c>
      <c r="V16" s="28">
        <f aca="true" t="shared" si="8" ref="V16:V31">SUM(W16:Z16)</f>
        <v>286.7581344700801</v>
      </c>
      <c r="W16" s="28">
        <f>'таблицы в текст'!$C$242/$G$12*W12</f>
        <v>71.68953361752003</v>
      </c>
      <c r="X16" s="28">
        <f>'таблицы в текст'!$C$242/$G$12*X12</f>
        <v>71.68953361752003</v>
      </c>
      <c r="Y16" s="28">
        <f>'таблицы в текст'!$C$242/$G$12*Y12</f>
        <v>71.68953361752003</v>
      </c>
      <c r="Z16" s="28">
        <f>'таблицы в текст'!$C$242/$G$12*Z12</f>
        <v>71.68953361752003</v>
      </c>
      <c r="AA16" s="29">
        <f t="shared" si="5"/>
        <v>0</v>
      </c>
      <c r="AB16" s="28">
        <f>'таблицы в текст'!$C$242/$G$12*AB12</f>
        <v>0</v>
      </c>
      <c r="AC16" s="28">
        <f>'таблицы в текст'!$C$242/$G$12*AC12</f>
        <v>0</v>
      </c>
      <c r="AD16" s="28">
        <f>'таблицы в текст'!$C$242/$G$12*AD12</f>
        <v>0</v>
      </c>
      <c r="AE16" s="28">
        <f>'таблицы в текст'!$C$242/$G$12*AE12</f>
        <v>0</v>
      </c>
      <c r="AF16" s="28">
        <f t="shared" si="7"/>
        <v>1244.609129243109</v>
      </c>
      <c r="AG16" s="173"/>
      <c r="AH16" s="181"/>
      <c r="AI16" s="181"/>
      <c r="AJ16" s="182"/>
      <c r="AK16" s="173"/>
      <c r="AL16" s="173"/>
      <c r="AM16" s="173"/>
      <c r="AN16" s="173"/>
      <c r="AO16" s="11"/>
      <c r="AP16" s="11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1:94" s="8" customFormat="1" ht="15" customHeight="1">
      <c r="A17" s="128" t="str">
        <f>'таблицы в текст'!B243</f>
        <v>Расходы на воду</v>
      </c>
      <c r="B17" s="28">
        <f>SUM(C17:F17)</f>
        <v>56.977067584821434</v>
      </c>
      <c r="C17" s="28">
        <f>'таблицы в текст'!$C$243/$G$12*C12</f>
        <v>0</v>
      </c>
      <c r="D17" s="28">
        <f>'таблицы в текст'!$C$243/$G$12*D12</f>
        <v>18.992355861607145</v>
      </c>
      <c r="E17" s="28">
        <f>'таблицы в текст'!$C$243/$G$12*E12</f>
        <v>18.992355861607145</v>
      </c>
      <c r="F17" s="28">
        <f>'таблицы в текст'!$C$243/$G$12*F12</f>
        <v>18.992355861607145</v>
      </c>
      <c r="G17" s="28">
        <f>SUM(H17:K17)</f>
        <v>79.76789461875</v>
      </c>
      <c r="H17" s="28">
        <f>'таблицы в текст'!$C$243/$G$12*H12</f>
        <v>19.9419736546875</v>
      </c>
      <c r="I17" s="28">
        <f>'таблицы в текст'!$C$243/$G$12*I12</f>
        <v>19.9419736546875</v>
      </c>
      <c r="J17" s="28">
        <f>'таблицы в текст'!$C$243/$G$12*J12</f>
        <v>19.9419736546875</v>
      </c>
      <c r="K17" s="28">
        <f>'таблицы в текст'!$C$243/$G$12*K12</f>
        <v>19.9419736546875</v>
      </c>
      <c r="L17" s="28">
        <f>SUM(M17:P17)</f>
        <v>83.75628934968752</v>
      </c>
      <c r="M17" s="28">
        <f>'таблицы в текст'!$C$243/$G$12*M12</f>
        <v>20.93907233742188</v>
      </c>
      <c r="N17" s="28">
        <f>'таблицы в текст'!$C$243/$G$12*N12</f>
        <v>20.93907233742188</v>
      </c>
      <c r="O17" s="28">
        <f>'таблицы в текст'!$C$243/$G$12*O12</f>
        <v>20.93907233742188</v>
      </c>
      <c r="P17" s="28">
        <f>'таблицы в текст'!$C$243/$G$12*P12</f>
        <v>20.93907233742188</v>
      </c>
      <c r="Q17" s="28">
        <f>SUM(R17:U17)</f>
        <v>87.9441038171719</v>
      </c>
      <c r="R17" s="28">
        <f>'таблицы в текст'!$C$243/$G$12*R12</f>
        <v>21.986025954292973</v>
      </c>
      <c r="S17" s="28">
        <f>'таблицы в текст'!$C$243/$G$12*S12</f>
        <v>21.986025954292973</v>
      </c>
      <c r="T17" s="28">
        <f>'таблицы в текст'!$C$243/$G$12*T12</f>
        <v>21.986025954292973</v>
      </c>
      <c r="U17" s="28">
        <f>'таблицы в текст'!$C$243/$G$12*U12</f>
        <v>21.986025954292973</v>
      </c>
      <c r="V17" s="28">
        <f t="shared" si="8"/>
        <v>92.3413090080305</v>
      </c>
      <c r="W17" s="28">
        <f>'таблицы в текст'!$C$243/$G$12*W12</f>
        <v>23.085327252007627</v>
      </c>
      <c r="X17" s="28">
        <f>'таблицы в текст'!$C$243/$G$12*X12</f>
        <v>23.085327252007627</v>
      </c>
      <c r="Y17" s="28">
        <f>'таблицы в текст'!$C$243/$G$12*Y12</f>
        <v>23.085327252007627</v>
      </c>
      <c r="Z17" s="28">
        <f>'таблицы в текст'!$C$243/$G$12*Z12</f>
        <v>23.085327252007627</v>
      </c>
      <c r="AA17" s="29">
        <f t="shared" si="5"/>
        <v>0</v>
      </c>
      <c r="AB17" s="28">
        <f>'таблицы в текст'!$C$243/$G$12*AB12</f>
        <v>0</v>
      </c>
      <c r="AC17" s="28">
        <f>'таблицы в текст'!$C$243/$G$12*AC12</f>
        <v>0</v>
      </c>
      <c r="AD17" s="28">
        <f>'таблицы в текст'!$C$243/$G$12*AD12</f>
        <v>0</v>
      </c>
      <c r="AE17" s="28">
        <f>'таблицы в текст'!$C$243/$G$12*AE12</f>
        <v>0</v>
      </c>
      <c r="AF17" s="28">
        <f t="shared" si="7"/>
        <v>400.78666437846135</v>
      </c>
      <c r="AG17" s="173"/>
      <c r="AH17" s="181"/>
      <c r="AI17" s="181"/>
      <c r="AJ17" s="182"/>
      <c r="AK17" s="173"/>
      <c r="AL17" s="173"/>
      <c r="AM17" s="173"/>
      <c r="AN17" s="173"/>
      <c r="AO17" s="11"/>
      <c r="AP17" s="11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</row>
    <row r="18" spans="1:94" s="8" customFormat="1" ht="15" customHeight="1">
      <c r="A18" s="128" t="str">
        <f>'таблицы в текст'!B244</f>
        <v>Расходы на сбор и вывоз отходов</v>
      </c>
      <c r="B18" s="28">
        <f>SUM(C18:F18)</f>
        <v>253.22775974025976</v>
      </c>
      <c r="C18" s="28">
        <f>'таблицы в текст'!$C$244/$G$12*C12</f>
        <v>0</v>
      </c>
      <c r="D18" s="28">
        <f>'таблицы в текст'!$C$244/$G$12*D12</f>
        <v>84.40925324675325</v>
      </c>
      <c r="E18" s="28">
        <f>'таблицы в текст'!$C$244/$G$12*E12</f>
        <v>84.40925324675325</v>
      </c>
      <c r="F18" s="28">
        <f>'таблицы в текст'!$C$244/$G$12*F12</f>
        <v>84.40925324675325</v>
      </c>
      <c r="G18" s="28">
        <f>SUM(H18:K18)</f>
        <v>354.5188636363636</v>
      </c>
      <c r="H18" s="28">
        <f>'таблицы в текст'!$C$244/$G$12*H12</f>
        <v>88.6297159090909</v>
      </c>
      <c r="I18" s="28">
        <f>'таблицы в текст'!$C$244/$G$12*I12</f>
        <v>88.6297159090909</v>
      </c>
      <c r="J18" s="28">
        <f>'таблицы в текст'!$C$244/$G$12*J12</f>
        <v>88.6297159090909</v>
      </c>
      <c r="K18" s="28">
        <f>'таблицы в текст'!$C$244/$G$12*K12</f>
        <v>88.6297159090909</v>
      </c>
      <c r="L18" s="28">
        <f>SUM(M18:P18)</f>
        <v>372.2448068181818</v>
      </c>
      <c r="M18" s="28">
        <f>'таблицы в текст'!$C$244/$G$12*M12</f>
        <v>93.06120170454545</v>
      </c>
      <c r="N18" s="28">
        <f>'таблицы в текст'!$C$244/$G$12*N12</f>
        <v>93.06120170454545</v>
      </c>
      <c r="O18" s="28">
        <f>'таблицы в текст'!$C$244/$G$12*O12</f>
        <v>93.06120170454545</v>
      </c>
      <c r="P18" s="28">
        <f>'таблицы в текст'!$C$244/$G$12*P12</f>
        <v>93.06120170454545</v>
      </c>
      <c r="Q18" s="28">
        <f>SUM(R18:U18)</f>
        <v>390.85704715909094</v>
      </c>
      <c r="R18" s="28">
        <f>'таблицы в текст'!$C$244/$G$12*R12</f>
        <v>97.71426178977273</v>
      </c>
      <c r="S18" s="28">
        <f>'таблицы в текст'!$C$244/$G$12*S12</f>
        <v>97.71426178977273</v>
      </c>
      <c r="T18" s="28">
        <f>'таблицы в текст'!$C$244/$G$12*T12</f>
        <v>97.71426178977273</v>
      </c>
      <c r="U18" s="28">
        <f>'таблицы в текст'!$C$244/$G$12*U12</f>
        <v>97.71426178977273</v>
      </c>
      <c r="V18" s="28">
        <f>SUM(W18:Z18)</f>
        <v>410.3998995170456</v>
      </c>
      <c r="W18" s="28">
        <f>'таблицы в текст'!$C$244/$G$12*W12</f>
        <v>102.5999748792614</v>
      </c>
      <c r="X18" s="28">
        <f>'таблицы в текст'!$C$244/$G$12*X12</f>
        <v>102.5999748792614</v>
      </c>
      <c r="Y18" s="28">
        <f>'таблицы в текст'!$C$244/$G$12*Y12</f>
        <v>102.5999748792614</v>
      </c>
      <c r="Z18" s="28">
        <f>'таблицы в текст'!$C$244/$G$12*Z12</f>
        <v>102.5999748792614</v>
      </c>
      <c r="AA18" s="28">
        <f>SUM(AB18:AE18)</f>
        <v>0</v>
      </c>
      <c r="AB18" s="28">
        <f>'таблицы в текст'!$C$244/$G$12*AB12</f>
        <v>0</v>
      </c>
      <c r="AC18" s="28">
        <f>'таблицы в текст'!$C$244/$G$12*AC12</f>
        <v>0</v>
      </c>
      <c r="AD18" s="28">
        <f>'таблицы в текст'!$C$244/$G$12*AD12</f>
        <v>0</v>
      </c>
      <c r="AE18" s="28">
        <f>'таблицы в текст'!$C$244/$G$12*AE12</f>
        <v>0</v>
      </c>
      <c r="AF18" s="28">
        <f t="shared" si="7"/>
        <v>1781.2483768709417</v>
      </c>
      <c r="AG18" s="173"/>
      <c r="AH18" s="181"/>
      <c r="AI18" s="181"/>
      <c r="AJ18" s="182"/>
      <c r="AK18" s="173"/>
      <c r="AL18" s="173"/>
      <c r="AM18" s="173"/>
      <c r="AN18" s="173"/>
      <c r="AO18" s="11"/>
      <c r="AP18" s="11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</row>
    <row r="19" spans="1:94" s="8" customFormat="1" ht="12.75">
      <c r="A19" s="128" t="str">
        <f>'таблицы в текст'!B214</f>
        <v>Таблица 4-13. Расчет расходов на ГСМ</v>
      </c>
      <c r="B19" s="28">
        <f>SUM(C19:F19)</f>
        <v>381.2250000000001</v>
      </c>
      <c r="C19" s="28">
        <f>'таблицы в текст'!$C$220/$G$12*C12</f>
        <v>0</v>
      </c>
      <c r="D19" s="28">
        <f>'таблицы в текст'!$C$220/$G$12*D12</f>
        <v>127.07500000000003</v>
      </c>
      <c r="E19" s="28">
        <f>'таблицы в текст'!$C$220/$G$12*E12</f>
        <v>127.07500000000003</v>
      </c>
      <c r="F19" s="28">
        <f>'таблицы в текст'!$C$220/$G$12*F12</f>
        <v>127.07500000000003</v>
      </c>
      <c r="G19" s="28">
        <f>SUM(H19:K19)</f>
        <v>533.7150000000001</v>
      </c>
      <c r="H19" s="28">
        <f>'таблицы в текст'!$C$220/$G$12*H12</f>
        <v>133.42875000000004</v>
      </c>
      <c r="I19" s="28">
        <f>'таблицы в текст'!$C$220/$G$12*I12</f>
        <v>133.42875000000004</v>
      </c>
      <c r="J19" s="28">
        <f>'таблицы в текст'!$C$220/$G$12*J12</f>
        <v>133.42875000000004</v>
      </c>
      <c r="K19" s="28">
        <f>'таблицы в текст'!$C$220/$G$12*K12</f>
        <v>133.42875000000004</v>
      </c>
      <c r="L19" s="28">
        <f>SUM(M19:P19)</f>
        <v>560.4007500000002</v>
      </c>
      <c r="M19" s="28">
        <f>'таблицы в текст'!$C$220/$G$12*M12</f>
        <v>140.10018750000006</v>
      </c>
      <c r="N19" s="28">
        <f>'таблицы в текст'!$C$220/$G$12*N12</f>
        <v>140.10018750000006</v>
      </c>
      <c r="O19" s="28">
        <f>'таблицы в текст'!$C$220/$G$12*O12</f>
        <v>140.10018750000006</v>
      </c>
      <c r="P19" s="28">
        <f>'таблицы в текст'!$C$220/$G$12*P12</f>
        <v>140.10018750000006</v>
      </c>
      <c r="Q19" s="28">
        <f>SUM(R19:U19)</f>
        <v>588.4207875000003</v>
      </c>
      <c r="R19" s="28">
        <f>'таблицы в текст'!$C$220/$G$12*R12</f>
        <v>147.10519687500008</v>
      </c>
      <c r="S19" s="28">
        <f>'таблицы в текст'!$C$220/$G$12*S12</f>
        <v>147.10519687500008</v>
      </c>
      <c r="T19" s="28">
        <f>'таблицы в текст'!$C$220/$G$12*T12</f>
        <v>147.10519687500008</v>
      </c>
      <c r="U19" s="28">
        <f>'таблицы в текст'!$C$220/$G$12*U12</f>
        <v>147.10519687500008</v>
      </c>
      <c r="V19" s="28">
        <f>SUM(W19:Z19)</f>
        <v>617.8418268750003</v>
      </c>
      <c r="W19" s="28">
        <f>'таблицы в текст'!$C$220/$G$12*W12</f>
        <v>154.46045671875007</v>
      </c>
      <c r="X19" s="28">
        <f>'таблицы в текст'!$C$220/$G$12*X12</f>
        <v>154.46045671875007</v>
      </c>
      <c r="Y19" s="28">
        <f>'таблицы в текст'!$C$220/$G$12*Y12</f>
        <v>154.46045671875007</v>
      </c>
      <c r="Z19" s="28">
        <f>'таблицы в текст'!$C$220/$G$12*Z12</f>
        <v>154.46045671875007</v>
      </c>
      <c r="AA19" s="28">
        <f>SUM(AB19:AE19)</f>
        <v>0</v>
      </c>
      <c r="AB19" s="28">
        <f>'таблицы в текст'!$C$220/$G$12*AB12</f>
        <v>0</v>
      </c>
      <c r="AC19" s="28">
        <f>'таблицы в текст'!$C$220/$G$12*AC12</f>
        <v>0</v>
      </c>
      <c r="AD19" s="28">
        <f>'таблицы в текст'!$C$220/$G$12*AD12</f>
        <v>0</v>
      </c>
      <c r="AE19" s="28">
        <f>'таблицы в текст'!$C$220/$G$12*AE12</f>
        <v>0</v>
      </c>
      <c r="AF19" s="28">
        <f t="shared" si="7"/>
        <v>2681.603364375001</v>
      </c>
      <c r="AG19" s="173"/>
      <c r="AH19" s="181"/>
      <c r="AI19" s="181"/>
      <c r="AJ19" s="182"/>
      <c r="AK19" s="173"/>
      <c r="AL19" s="173"/>
      <c r="AM19" s="173"/>
      <c r="AN19" s="173"/>
      <c r="AO19" s="11"/>
      <c r="AP19" s="11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</row>
    <row r="20" spans="1:94" s="8" customFormat="1" ht="19.5" customHeight="1">
      <c r="A20" s="12" t="s">
        <v>173</v>
      </c>
      <c r="B20" s="28">
        <f aca="true" t="shared" si="9" ref="B20:K20">B12-B13</f>
        <v>11619.407747146346</v>
      </c>
      <c r="C20" s="28">
        <f t="shared" si="9"/>
        <v>0</v>
      </c>
      <c r="D20" s="28">
        <f t="shared" si="9"/>
        <v>3873.135915715449</v>
      </c>
      <c r="E20" s="28">
        <f t="shared" si="9"/>
        <v>3873.135915715449</v>
      </c>
      <c r="F20" s="28">
        <f t="shared" si="9"/>
        <v>3873.135915715449</v>
      </c>
      <c r="G20" s="28">
        <f t="shared" si="9"/>
        <v>16267.170846004885</v>
      </c>
      <c r="H20" s="28">
        <f t="shared" si="9"/>
        <v>4066.792711501221</v>
      </c>
      <c r="I20" s="28">
        <f t="shared" si="9"/>
        <v>4066.792711501221</v>
      </c>
      <c r="J20" s="28">
        <f t="shared" si="9"/>
        <v>4066.792711501221</v>
      </c>
      <c r="K20" s="28">
        <f t="shared" si="9"/>
        <v>4066.792711501221</v>
      </c>
      <c r="L20" s="28">
        <f aca="true" t="shared" si="10" ref="L20:AE20">L12-L13</f>
        <v>17080.529388305127</v>
      </c>
      <c r="M20" s="28">
        <f t="shared" si="10"/>
        <v>4270.132347076282</v>
      </c>
      <c r="N20" s="28">
        <f t="shared" si="10"/>
        <v>4270.132347076282</v>
      </c>
      <c r="O20" s="28">
        <f t="shared" si="10"/>
        <v>4270.132347076282</v>
      </c>
      <c r="P20" s="28">
        <f t="shared" si="10"/>
        <v>4270.132347076282</v>
      </c>
      <c r="Q20" s="28">
        <f t="shared" si="10"/>
        <v>17934.55585772039</v>
      </c>
      <c r="R20" s="28">
        <f t="shared" si="10"/>
        <v>4483.638964430097</v>
      </c>
      <c r="S20" s="28">
        <f t="shared" si="10"/>
        <v>4483.638964430097</v>
      </c>
      <c r="T20" s="28">
        <f t="shared" si="10"/>
        <v>4483.638964430097</v>
      </c>
      <c r="U20" s="28">
        <f t="shared" si="10"/>
        <v>4483.638964430097</v>
      </c>
      <c r="V20" s="28">
        <f t="shared" si="8"/>
        <v>18831.28365060641</v>
      </c>
      <c r="W20" s="28">
        <f t="shared" si="10"/>
        <v>4707.820912651602</v>
      </c>
      <c r="X20" s="28">
        <f t="shared" si="10"/>
        <v>4707.820912651602</v>
      </c>
      <c r="Y20" s="28">
        <f t="shared" si="10"/>
        <v>4707.820912651602</v>
      </c>
      <c r="Z20" s="28">
        <f t="shared" si="10"/>
        <v>4707.820912651602</v>
      </c>
      <c r="AA20" s="29">
        <f t="shared" si="5"/>
        <v>0</v>
      </c>
      <c r="AB20" s="28">
        <f t="shared" si="10"/>
        <v>0</v>
      </c>
      <c r="AC20" s="28">
        <f t="shared" si="10"/>
        <v>0</v>
      </c>
      <c r="AD20" s="28">
        <f t="shared" si="10"/>
        <v>0</v>
      </c>
      <c r="AE20" s="28">
        <f t="shared" si="10"/>
        <v>0</v>
      </c>
      <c r="AF20" s="28">
        <f t="shared" si="7"/>
        <v>81732.94748978317</v>
      </c>
      <c r="AG20" s="173"/>
      <c r="AH20" s="181"/>
      <c r="AI20" s="181"/>
      <c r="AJ20" s="182"/>
      <c r="AK20" s="173"/>
      <c r="AL20" s="173"/>
      <c r="AM20" s="173"/>
      <c r="AN20" s="173"/>
      <c r="AO20" s="11"/>
      <c r="AP20" s="11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</row>
    <row r="21" spans="1:94" s="8" customFormat="1" ht="19.5" customHeight="1">
      <c r="A21" s="12" t="s">
        <v>174</v>
      </c>
      <c r="B21" s="28">
        <f>B23+B24+B25+B26+B27+B28</f>
        <v>5172.023182500001</v>
      </c>
      <c r="C21" s="28">
        <f aca="true" t="shared" si="11" ref="C21:K21">C23+C24+C25+C26+C27+C28</f>
        <v>0</v>
      </c>
      <c r="D21" s="28">
        <f t="shared" si="11"/>
        <v>1724.0077275</v>
      </c>
      <c r="E21" s="28">
        <f t="shared" si="11"/>
        <v>1724.0077275</v>
      </c>
      <c r="F21" s="28">
        <f>F23+F24+F25+F26+F27+F28</f>
        <v>1724.0077275</v>
      </c>
      <c r="G21" s="28">
        <f>G23+G24+G25+G26+G27+G28</f>
        <v>6896.03091</v>
      </c>
      <c r="H21" s="28">
        <f>H23+H24+H25+H26+H27+H28</f>
        <v>1724.0077275</v>
      </c>
      <c r="I21" s="28">
        <f t="shared" si="11"/>
        <v>1724.0077275</v>
      </c>
      <c r="J21" s="28">
        <f t="shared" si="11"/>
        <v>1724.0077275</v>
      </c>
      <c r="K21" s="28">
        <f t="shared" si="11"/>
        <v>1724.0077275</v>
      </c>
      <c r="L21" s="28">
        <f aca="true" t="shared" si="12" ref="L21:AE21">L23+L24+L25+L26+L27+L28</f>
        <v>6896.03091</v>
      </c>
      <c r="M21" s="28">
        <f t="shared" si="12"/>
        <v>1724.0077275</v>
      </c>
      <c r="N21" s="28">
        <f t="shared" si="12"/>
        <v>1724.0077275</v>
      </c>
      <c r="O21" s="28">
        <f t="shared" si="12"/>
        <v>1724.0077275</v>
      </c>
      <c r="P21" s="28">
        <f t="shared" si="12"/>
        <v>1724.0077275</v>
      </c>
      <c r="Q21" s="28">
        <f t="shared" si="12"/>
        <v>6896.03091</v>
      </c>
      <c r="R21" s="28">
        <f t="shared" si="12"/>
        <v>1724.0077275</v>
      </c>
      <c r="S21" s="28">
        <f t="shared" si="12"/>
        <v>1724.0077275</v>
      </c>
      <c r="T21" s="28">
        <f t="shared" si="12"/>
        <v>1724.0077275</v>
      </c>
      <c r="U21" s="28">
        <f t="shared" si="12"/>
        <v>1724.0077275</v>
      </c>
      <c r="V21" s="28">
        <f t="shared" si="8"/>
        <v>6896.03091</v>
      </c>
      <c r="W21" s="28">
        <f t="shared" si="12"/>
        <v>1724.0077275</v>
      </c>
      <c r="X21" s="28">
        <f t="shared" si="12"/>
        <v>1724.0077275</v>
      </c>
      <c r="Y21" s="28">
        <f t="shared" si="12"/>
        <v>1724.0077275</v>
      </c>
      <c r="Z21" s="28">
        <f t="shared" si="12"/>
        <v>1724.0077275</v>
      </c>
      <c r="AA21" s="29">
        <f t="shared" si="5"/>
        <v>0</v>
      </c>
      <c r="AB21" s="28">
        <f t="shared" si="12"/>
        <v>0</v>
      </c>
      <c r="AC21" s="28">
        <f t="shared" si="12"/>
        <v>0</v>
      </c>
      <c r="AD21" s="28">
        <f t="shared" si="12"/>
        <v>0</v>
      </c>
      <c r="AE21" s="28">
        <f t="shared" si="12"/>
        <v>0</v>
      </c>
      <c r="AF21" s="28">
        <f t="shared" si="7"/>
        <v>32756.146822500003</v>
      </c>
      <c r="AG21" s="173"/>
      <c r="AH21" s="181"/>
      <c r="AI21" s="181"/>
      <c r="AJ21" s="182"/>
      <c r="AK21" s="173"/>
      <c r="AL21" s="173"/>
      <c r="AM21" s="173"/>
      <c r="AN21" s="173"/>
      <c r="AO21" s="11"/>
      <c r="AP21" s="11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</row>
    <row r="22" spans="1:94" s="8" customFormat="1" ht="15.75" customHeight="1">
      <c r="A22" s="12" t="s">
        <v>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>
        <f t="shared" si="8"/>
        <v>0</v>
      </c>
      <c r="W22" s="28"/>
      <c r="X22" s="28"/>
      <c r="Y22" s="28"/>
      <c r="Z22" s="28"/>
      <c r="AA22" s="29">
        <f t="shared" si="5"/>
        <v>0</v>
      </c>
      <c r="AB22" s="28"/>
      <c r="AC22" s="28"/>
      <c r="AD22" s="28"/>
      <c r="AE22" s="28"/>
      <c r="AF22" s="28">
        <f t="shared" si="7"/>
        <v>0</v>
      </c>
      <c r="AG22" s="173"/>
      <c r="AH22" s="181"/>
      <c r="AI22" s="181"/>
      <c r="AJ22" s="182"/>
      <c r="AK22" s="173"/>
      <c r="AL22" s="173"/>
      <c r="AM22" s="173"/>
      <c r="AN22" s="173"/>
      <c r="AO22" s="11"/>
      <c r="AP22" s="11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</row>
    <row r="23" spans="1:94" s="8" customFormat="1" ht="19.5" customHeight="1">
      <c r="A23" s="128" t="str">
        <f>'таблицы в текст'!B241</f>
        <v>Расходы на ФОТ</v>
      </c>
      <c r="B23" s="28">
        <f aca="true" t="shared" si="13" ref="B23:B28">SUM(C23:F23)</f>
        <v>3776.76</v>
      </c>
      <c r="C23" s="28">
        <f>IF(C12=0,0,'таблицы в текст'!$C$241*'таблицы в текст'!$B$128)</f>
        <v>0</v>
      </c>
      <c r="D23" s="28">
        <f>IF(D12=0,0,'таблицы в текст'!$C$241*'таблицы в текст'!$C$128)</f>
        <v>1258.92</v>
      </c>
      <c r="E23" s="28">
        <f>IF(E12=0,0,'таблицы в текст'!$C$241*'таблицы в текст'!$D$128)</f>
        <v>1258.92</v>
      </c>
      <c r="F23" s="28">
        <f>IF(F12=0,0,'таблицы в текст'!$C$241*'таблицы в текст'!$E$128)</f>
        <v>1258.92</v>
      </c>
      <c r="G23" s="28">
        <f aca="true" t="shared" si="14" ref="G23:G28">SUM(H23:K23)</f>
        <v>5035.68</v>
      </c>
      <c r="H23" s="28">
        <f>IF(H12=0,0,'таблицы в текст'!$C$241*'таблицы в текст'!$B$128)*H37</f>
        <v>1258.92</v>
      </c>
      <c r="I23" s="28">
        <f>IF(I12=0,0,'таблицы в текст'!$C$241*'таблицы в текст'!$B$128)*I37</f>
        <v>1258.92</v>
      </c>
      <c r="J23" s="28">
        <f>IF(J12=0,0,'таблицы в текст'!$C$241*'таблицы в текст'!$B$128)*J37</f>
        <v>1258.92</v>
      </c>
      <c r="K23" s="28">
        <f>IF(K12=0,0,'таблицы в текст'!$C$241*'таблицы в текст'!$B$128)*K37</f>
        <v>1258.92</v>
      </c>
      <c r="L23" s="28">
        <f aca="true" t="shared" si="15" ref="L23:L28">SUM(M23:P23)</f>
        <v>5035.68</v>
      </c>
      <c r="M23" s="28">
        <f>IF(M12=0,0,'таблицы в текст'!$C$241*'таблицы в текст'!$B$128)*M37</f>
        <v>1258.92</v>
      </c>
      <c r="N23" s="28">
        <f>IF(N12=0,0,'таблицы в текст'!$C$241*'таблицы в текст'!$B$128)*N37</f>
        <v>1258.92</v>
      </c>
      <c r="O23" s="28">
        <f>IF(O12=0,0,'таблицы в текст'!$C$241*'таблицы в текст'!$B$128)*O37</f>
        <v>1258.92</v>
      </c>
      <c r="P23" s="28">
        <f>IF(P12=0,0,'таблицы в текст'!$C$241*'таблицы в текст'!$B$128)*P37</f>
        <v>1258.92</v>
      </c>
      <c r="Q23" s="28">
        <f aca="true" t="shared" si="16" ref="Q23:Q28">SUM(R23:U23)</f>
        <v>5035.68</v>
      </c>
      <c r="R23" s="28">
        <f>IF(R12=0,0,'таблицы в текст'!$C$241*'таблицы в текст'!$B$128)*R37</f>
        <v>1258.92</v>
      </c>
      <c r="S23" s="28">
        <f>IF(S12=0,0,'таблицы в текст'!$C$241*'таблицы в текст'!$B$128)*S37</f>
        <v>1258.92</v>
      </c>
      <c r="T23" s="28">
        <f>IF(T12=0,0,'таблицы в текст'!$C$241*'таблицы в текст'!$B$128)*T37</f>
        <v>1258.92</v>
      </c>
      <c r="U23" s="28">
        <f>IF(U12=0,0,'таблицы в текст'!$C$241*'таблицы в текст'!$B$128)*U37</f>
        <v>1258.92</v>
      </c>
      <c r="V23" s="28">
        <f t="shared" si="8"/>
        <v>5035.68</v>
      </c>
      <c r="W23" s="28">
        <f>IF(W12=0,0,'таблицы в текст'!$C$241*'таблицы в текст'!$B$128)*W37</f>
        <v>1258.92</v>
      </c>
      <c r="X23" s="28">
        <f>IF(X12=0,0,'таблицы в текст'!$C$241*'таблицы в текст'!$B$128)*X37</f>
        <v>1258.92</v>
      </c>
      <c r="Y23" s="28">
        <f>IF(Y12=0,0,'таблицы в текст'!$C$241*'таблицы в текст'!$B$128)*Y37</f>
        <v>1258.92</v>
      </c>
      <c r="Z23" s="28">
        <f>IF(Z12=0,0,'таблицы в текст'!$C$241*'таблицы в текст'!$B$128)*Z37</f>
        <v>1258.92</v>
      </c>
      <c r="AA23" s="29">
        <f t="shared" si="5"/>
        <v>0</v>
      </c>
      <c r="AB23" s="28">
        <f>IF(AB12=0,0,'таблицы в текст'!$C$241*'таблицы в текст'!$B$128)*AB37</f>
        <v>0</v>
      </c>
      <c r="AC23" s="28">
        <f>IF(AC12=0,0,'таблицы в текст'!$C$241*'таблицы в текст'!$B$128)*AC37</f>
        <v>0</v>
      </c>
      <c r="AD23" s="28">
        <f>IF(AD12=0,0,'таблицы в текст'!$C$241*'таблицы в текст'!$B$128)*AD37</f>
        <v>0</v>
      </c>
      <c r="AE23" s="28">
        <f>IF(AE12=0,0,'таблицы в текст'!$C$241*'таблицы в текст'!$B$128)*AE37</f>
        <v>0</v>
      </c>
      <c r="AF23" s="28">
        <f t="shared" si="7"/>
        <v>23919.480000000003</v>
      </c>
      <c r="AG23" s="173"/>
      <c r="AH23" s="181"/>
      <c r="AI23" s="181"/>
      <c r="AJ23" s="182"/>
      <c r="AK23" s="173"/>
      <c r="AL23" s="173"/>
      <c r="AM23" s="173"/>
      <c r="AN23" s="173"/>
      <c r="AO23" s="11"/>
      <c r="AP23" s="11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</row>
    <row r="24" spans="1:94" s="8" customFormat="1" ht="19.5" customHeight="1">
      <c r="A24" s="128" t="str">
        <f>'таблицы в текст'!B245</f>
        <v>Расходы на отопление</v>
      </c>
      <c r="B24" s="28">
        <f t="shared" si="13"/>
        <v>0</v>
      </c>
      <c r="C24" s="28">
        <f>IF(C12=0,0,'таблицы в текст'!$C$245*'таблицы в текст'!$B$128)</f>
        <v>0</v>
      </c>
      <c r="D24" s="28">
        <f>IF(D12=0,0,'таблицы в текст'!$C$245/8*1.5)</f>
        <v>0</v>
      </c>
      <c r="E24" s="28">
        <f>IF(E12=0,0,'таблицы в текст'!$C$245/8*0.5)</f>
        <v>0</v>
      </c>
      <c r="F24" s="28">
        <f>IF(F12=0,0,'таблицы в текст'!$C$245/8*3)</f>
        <v>0</v>
      </c>
      <c r="G24" s="28">
        <f t="shared" si="14"/>
        <v>0</v>
      </c>
      <c r="H24" s="28">
        <f>IF(H12=0,0,'таблицы в текст'!$C$245/8*3)*H39</f>
        <v>0</v>
      </c>
      <c r="I24" s="28">
        <f>IF(I12=0,0,'таблицы в текст'!$C$245/8*1.5)*I39</f>
        <v>0</v>
      </c>
      <c r="J24" s="28">
        <f>IF(J12=0,0,'таблицы в текст'!$C$245/8*0.5)*J39</f>
        <v>0</v>
      </c>
      <c r="K24" s="28">
        <f>IF(K12=0,0,'таблицы в текст'!$C$245/8*3)*K39</f>
        <v>0</v>
      </c>
      <c r="L24" s="28">
        <f t="shared" si="15"/>
        <v>0</v>
      </c>
      <c r="M24" s="28">
        <f>IF(M12=0,0,'таблицы в текст'!$C$245/8*3)*M39</f>
        <v>0</v>
      </c>
      <c r="N24" s="28">
        <f>IF(N12=0,0,'таблицы в текст'!$C$245/8*1.5)*N39</f>
        <v>0</v>
      </c>
      <c r="O24" s="28">
        <f>IF(O12=0,0,'таблицы в текст'!$C$245/8*0.5)*O39</f>
        <v>0</v>
      </c>
      <c r="P24" s="28">
        <f>IF(P12=0,0,'таблицы в текст'!$C$245/8*3)*P39</f>
        <v>0</v>
      </c>
      <c r="Q24" s="28">
        <f t="shared" si="16"/>
        <v>0</v>
      </c>
      <c r="R24" s="28">
        <f>IF(R12=0,0,'таблицы в текст'!$C$245/8*3)*R39</f>
        <v>0</v>
      </c>
      <c r="S24" s="28">
        <f>IF(S12=0,0,'таблицы в текст'!$C$245/8*1.5)*S39</f>
        <v>0</v>
      </c>
      <c r="T24" s="28">
        <f>IF(T12=0,0,'таблицы в текст'!$C$245/8*0.5)*T39</f>
        <v>0</v>
      </c>
      <c r="U24" s="28">
        <f>IF(U12=0,0,'таблицы в текст'!$C$245/8*3)*U39</f>
        <v>0</v>
      </c>
      <c r="V24" s="28">
        <f t="shared" si="8"/>
        <v>0</v>
      </c>
      <c r="W24" s="28">
        <f>IF(W12=0,0,'таблицы в текст'!$C$245/8*3)*W39</f>
        <v>0</v>
      </c>
      <c r="X24" s="28">
        <f>IF(X12=0,0,'таблицы в текст'!$C$245/8*1.5)*X39</f>
        <v>0</v>
      </c>
      <c r="Y24" s="28">
        <f>IF(Y12=0,0,'таблицы в текст'!$C$245/8*0.5)*Y39</f>
        <v>0</v>
      </c>
      <c r="Z24" s="28">
        <f>IF(Z12=0,0,'таблицы в текст'!$C$245/8*3)*Z39</f>
        <v>0</v>
      </c>
      <c r="AA24" s="29">
        <f t="shared" si="5"/>
        <v>0</v>
      </c>
      <c r="AB24" s="28">
        <f>IF(AB12=0,0,'таблицы в текст'!$C$245*'таблицы в текст'!$B$128)*AB39</f>
        <v>0</v>
      </c>
      <c r="AC24" s="28">
        <f>IF(AC12=0,0,'таблицы в текст'!$C$245/8*1.5)*AC39</f>
        <v>0</v>
      </c>
      <c r="AD24" s="28">
        <f>IF(AD12=0,0,'таблицы в текст'!$C$245/8*0.5)*AD39</f>
        <v>0</v>
      </c>
      <c r="AE24" s="28">
        <f>IF(AE12=0,0,'таблицы в текст'!$C$245/8*3)*AE39</f>
        <v>0</v>
      </c>
      <c r="AF24" s="28">
        <f t="shared" si="7"/>
        <v>0</v>
      </c>
      <c r="AG24" s="173"/>
      <c r="AH24" s="181"/>
      <c r="AI24" s="181"/>
      <c r="AJ24" s="182"/>
      <c r="AK24" s="173"/>
      <c r="AL24" s="173"/>
      <c r="AM24" s="173"/>
      <c r="AN24" s="173"/>
      <c r="AO24" s="11"/>
      <c r="AP24" s="11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</row>
    <row r="25" spans="1:94" s="8" customFormat="1" ht="19.5" customHeight="1">
      <c r="A25" s="128" t="str">
        <f>'таблицы в текст'!B246</f>
        <v>Расходы на аренду</v>
      </c>
      <c r="B25" s="28">
        <f t="shared" si="13"/>
        <v>648</v>
      </c>
      <c r="C25" s="28">
        <f>IF(C12=0,0,'таблицы в текст'!$C$246*'таблицы в текст'!$B$128)</f>
        <v>0</v>
      </c>
      <c r="D25" s="28">
        <f>IF(D12=0,0,'таблицы в текст'!$C$246*'таблицы в текст'!$C$128)</f>
        <v>216</v>
      </c>
      <c r="E25" s="28">
        <f>IF(E12=0,0,'таблицы в текст'!$C$246*'таблицы в текст'!$D$128)</f>
        <v>216</v>
      </c>
      <c r="F25" s="28">
        <f>IF(F12=0,0,'таблицы в текст'!$C$246*'таблицы в текст'!$E$128)</f>
        <v>216</v>
      </c>
      <c r="G25" s="28">
        <f t="shared" si="14"/>
        <v>864</v>
      </c>
      <c r="H25" s="28">
        <f>IF(H12=0,0,'таблицы в текст'!$C$246*'таблицы в текст'!$B$128)*H37</f>
        <v>216</v>
      </c>
      <c r="I25" s="28">
        <f>IF(I12=0,0,'таблицы в текст'!$C$246*'таблицы в текст'!$C$128)*I37</f>
        <v>216</v>
      </c>
      <c r="J25" s="28">
        <f>IF(J12=0,0,'таблицы в текст'!$C$246*'таблицы в текст'!$C$128)*J37</f>
        <v>216</v>
      </c>
      <c r="K25" s="28">
        <f>IF(K12=0,0,'таблицы в текст'!$C$246*'таблицы в текст'!$C$128)*K37</f>
        <v>216</v>
      </c>
      <c r="L25" s="28">
        <f t="shared" si="15"/>
        <v>864</v>
      </c>
      <c r="M25" s="28">
        <f>IF(M12=0,0,'таблицы в текст'!$C$246*'таблицы в текст'!$B$128)*M37</f>
        <v>216</v>
      </c>
      <c r="N25" s="28">
        <f>IF(N12=0,0,'таблицы в текст'!$C$246*'таблицы в текст'!$C$128)*N37</f>
        <v>216</v>
      </c>
      <c r="O25" s="28">
        <f>IF(O12=0,0,'таблицы в текст'!$C$246*'таблицы в текст'!$C$128)*O37</f>
        <v>216</v>
      </c>
      <c r="P25" s="28">
        <f>IF(P12=0,0,'таблицы в текст'!$C$246*'таблицы в текст'!$C$128)*P37</f>
        <v>216</v>
      </c>
      <c r="Q25" s="28">
        <f t="shared" si="16"/>
        <v>864</v>
      </c>
      <c r="R25" s="28">
        <f>IF(R12=0,0,'таблицы в текст'!$C$246*'таблицы в текст'!$B$128)*R37</f>
        <v>216</v>
      </c>
      <c r="S25" s="28">
        <f>IF(S12=0,0,'таблицы в текст'!$C$246*'таблицы в текст'!$C$128)*S37</f>
        <v>216</v>
      </c>
      <c r="T25" s="28">
        <f>IF(T12=0,0,'таблицы в текст'!$C$246*'таблицы в текст'!$C$128)*T37</f>
        <v>216</v>
      </c>
      <c r="U25" s="28">
        <f>IF(U12=0,0,'таблицы в текст'!$C$246*'таблицы в текст'!$C$128)*U37</f>
        <v>216</v>
      </c>
      <c r="V25" s="28">
        <f t="shared" si="8"/>
        <v>864</v>
      </c>
      <c r="W25" s="28">
        <f>IF(W12=0,0,'таблицы в текст'!$C$246*'таблицы в текст'!$B$128)*W37</f>
        <v>216</v>
      </c>
      <c r="X25" s="28">
        <f>IF(X12=0,0,'таблицы в текст'!$C$246*'таблицы в текст'!$C$128)*X37</f>
        <v>216</v>
      </c>
      <c r="Y25" s="28">
        <f>IF(Y12=0,0,'таблицы в текст'!$C$246*'таблицы в текст'!$C$128)*Y37</f>
        <v>216</v>
      </c>
      <c r="Z25" s="28">
        <f>IF(Z12=0,0,'таблицы в текст'!$C$246*'таблицы в текст'!$C$128)*Z37</f>
        <v>216</v>
      </c>
      <c r="AA25" s="29">
        <f t="shared" si="5"/>
        <v>0</v>
      </c>
      <c r="AB25" s="28">
        <f>IF(AB12=0,0,'таблицы в текст'!$C$246*'таблицы в текст'!$B$128)*AB37</f>
        <v>0</v>
      </c>
      <c r="AC25" s="28">
        <f>IF(AC12=0,0,'таблицы в текст'!$C$246*'таблицы в текст'!$C$128)*AC37</f>
        <v>0</v>
      </c>
      <c r="AD25" s="28">
        <f>IF(AD12=0,0,'таблицы в текст'!$C$246*'таблицы в текст'!$C$128)*AD37</f>
        <v>0</v>
      </c>
      <c r="AE25" s="28">
        <f>IF(AE12=0,0,'таблицы в текст'!$C$246*'таблицы в текст'!$C$128)*AE37</f>
        <v>0</v>
      </c>
      <c r="AF25" s="28">
        <f t="shared" si="7"/>
        <v>4104</v>
      </c>
      <c r="AG25" s="173"/>
      <c r="AH25" s="181"/>
      <c r="AI25" s="181"/>
      <c r="AJ25" s="182"/>
      <c r="AK25" s="173"/>
      <c r="AL25" s="173"/>
      <c r="AM25" s="173"/>
      <c r="AN25" s="173"/>
      <c r="AO25" s="11"/>
      <c r="AP25" s="11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</row>
    <row r="26" spans="1:94" s="8" customFormat="1" ht="19.5" customHeight="1">
      <c r="A26" s="128" t="str">
        <f>'таблицы в текст'!B248</f>
        <v>Амортизация</v>
      </c>
      <c r="B26" s="28">
        <f t="shared" si="13"/>
        <v>580.8428700000001</v>
      </c>
      <c r="C26" s="28">
        <f>IF(C12=0,0,'таблицы в текст'!$C$248*'таблицы в текст'!$B$128)</f>
        <v>0</v>
      </c>
      <c r="D26" s="28">
        <f>IF(D12=0,0,'таблицы в текст'!$C$248*'таблицы в текст'!$C$128)</f>
        <v>193.61429</v>
      </c>
      <c r="E26" s="28">
        <f>IF(E12=0,0,'таблицы в текст'!$C$248*'таблицы в текст'!$D$128)</f>
        <v>193.61429</v>
      </c>
      <c r="F26" s="28">
        <f>IF(F12=0,0,'таблицы в текст'!$C$248*'таблицы в текст'!$E$128)</f>
        <v>193.61429</v>
      </c>
      <c r="G26" s="28">
        <f t="shared" si="14"/>
        <v>774.45716</v>
      </c>
      <c r="H26" s="28">
        <f>IF(H12=0,0,'таблицы в текст'!$C$248*'таблицы в текст'!$B$128)</f>
        <v>193.61429</v>
      </c>
      <c r="I26" s="28">
        <f>IF(I12=0,0,'таблицы в текст'!$C$248*'таблицы в текст'!$C$128)</f>
        <v>193.61429</v>
      </c>
      <c r="J26" s="28">
        <f>IF(J12=0,0,'таблицы в текст'!$C$248*'таблицы в текст'!$D$128)</f>
        <v>193.61429</v>
      </c>
      <c r="K26" s="28">
        <f>IF(K12=0,0,'таблицы в текст'!$C$248*'таблицы в текст'!$E$128)</f>
        <v>193.61429</v>
      </c>
      <c r="L26" s="28">
        <f t="shared" si="15"/>
        <v>774.45716</v>
      </c>
      <c r="M26" s="28">
        <f>IF(M12=0,0,'таблицы в текст'!$C$248*'таблицы в текст'!$B$128)</f>
        <v>193.61429</v>
      </c>
      <c r="N26" s="28">
        <f>IF(N12=0,0,'таблицы в текст'!$C$248*'таблицы в текст'!$C$128)</f>
        <v>193.61429</v>
      </c>
      <c r="O26" s="28">
        <f>IF(O12=0,0,'таблицы в текст'!$C$248*'таблицы в текст'!$D$128)</f>
        <v>193.61429</v>
      </c>
      <c r="P26" s="28">
        <f>IF(P12=0,0,'таблицы в текст'!$C$248*'таблицы в текст'!$E$128)</f>
        <v>193.61429</v>
      </c>
      <c r="Q26" s="28">
        <f t="shared" si="16"/>
        <v>774.45716</v>
      </c>
      <c r="R26" s="28">
        <f>IF(R12=0,0,'таблицы в текст'!$C$248*'таблицы в текст'!$B$128)</f>
        <v>193.61429</v>
      </c>
      <c r="S26" s="28">
        <f>IF(S12=0,0,'таблицы в текст'!$C$248*'таблицы в текст'!$C$128)</f>
        <v>193.61429</v>
      </c>
      <c r="T26" s="28">
        <f>IF(T12=0,0,'таблицы в текст'!$C$248*'таблицы в текст'!$D$128)</f>
        <v>193.61429</v>
      </c>
      <c r="U26" s="28">
        <f>IF(U12=0,0,'таблицы в текст'!$C$248*'таблицы в текст'!$E$128)</f>
        <v>193.61429</v>
      </c>
      <c r="V26" s="28">
        <f t="shared" si="8"/>
        <v>774.45716</v>
      </c>
      <c r="W26" s="28">
        <f>IF(W12=0,0,'таблицы в текст'!$C$248*'таблицы в текст'!$B$128)</f>
        <v>193.61429</v>
      </c>
      <c r="X26" s="28">
        <f>IF(X12=0,0,'таблицы в текст'!$C$248*'таблицы в текст'!$C$128)</f>
        <v>193.61429</v>
      </c>
      <c r="Y26" s="28">
        <f>IF(Y12=0,0,'таблицы в текст'!$C$248*'таблицы в текст'!$D$128)</f>
        <v>193.61429</v>
      </c>
      <c r="Z26" s="28">
        <f>IF(Z12=0,0,'таблицы в текст'!$C$248*'таблицы в текст'!$E$128)</f>
        <v>193.61429</v>
      </c>
      <c r="AA26" s="29">
        <f t="shared" si="5"/>
        <v>0</v>
      </c>
      <c r="AB26" s="28">
        <f>IF(AB12=0,0,'таблицы в текст'!$C$248*'таблицы в текст'!$B$128)</f>
        <v>0</v>
      </c>
      <c r="AC26" s="28">
        <f>IF(AC12=0,0,'таблицы в текст'!$C$248*'таблицы в текст'!$C$128)</f>
        <v>0</v>
      </c>
      <c r="AD26" s="28">
        <f>IF(AD12=0,0,'таблицы в текст'!$C$248*'таблицы в текст'!$D$128)</f>
        <v>0</v>
      </c>
      <c r="AE26" s="28">
        <f>IF(AE12=0,0,'таблицы в текст'!$C$248*'таблицы в текст'!$E$128)</f>
        <v>0</v>
      </c>
      <c r="AF26" s="28">
        <f t="shared" si="7"/>
        <v>3678.67151</v>
      </c>
      <c r="AG26" s="173"/>
      <c r="AH26" s="181"/>
      <c r="AI26" s="181"/>
      <c r="AJ26" s="182"/>
      <c r="AK26" s="173"/>
      <c r="AL26" s="173"/>
      <c r="AM26" s="173"/>
      <c r="AN26" s="173"/>
      <c r="AO26" s="11"/>
      <c r="AP26" s="11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</row>
    <row r="27" spans="1:94" s="8" customFormat="1" ht="19.5" customHeight="1">
      <c r="A27" s="128" t="str">
        <f>'таблицы в текст'!B249</f>
        <v>Прочие расходы</v>
      </c>
      <c r="B27" s="28">
        <f t="shared" si="13"/>
        <v>166.42031250000002</v>
      </c>
      <c r="C27" s="28">
        <f>IF(C12=0,0,'таблицы в текст'!$C$249*'таблицы в текст'!$B$128)</f>
        <v>0</v>
      </c>
      <c r="D27" s="28">
        <f>IF(D12=0,0,'таблицы в текст'!$C$249*'таблицы в текст'!$C$128)</f>
        <v>55.4734375</v>
      </c>
      <c r="E27" s="28">
        <f>IF(E12=0,0,'таблицы в текст'!$C$249*'таблицы в текст'!$D$128)</f>
        <v>55.4734375</v>
      </c>
      <c r="F27" s="28">
        <f>IF(F12=0,0,'таблицы в текст'!$C$249*'таблицы в текст'!$E$128)</f>
        <v>55.4734375</v>
      </c>
      <c r="G27" s="28">
        <f t="shared" si="14"/>
        <v>221.89375</v>
      </c>
      <c r="H27" s="28">
        <f>IF(H12=0,0,'таблицы в текст'!$C$249*'таблицы в текст'!$B$128)*H37</f>
        <v>55.4734375</v>
      </c>
      <c r="I27" s="28">
        <f>IF(I12=0,0,'таблицы в текст'!$C$249*'таблицы в текст'!$B$128)*I37</f>
        <v>55.4734375</v>
      </c>
      <c r="J27" s="28">
        <f>IF(J12=0,0,'таблицы в текст'!$C$249*'таблицы в текст'!$B$128)*J37</f>
        <v>55.4734375</v>
      </c>
      <c r="K27" s="28">
        <f>IF(K12=0,0,'таблицы в текст'!$C$249*'таблицы в текст'!$B$128)*K37</f>
        <v>55.4734375</v>
      </c>
      <c r="L27" s="28">
        <f t="shared" si="15"/>
        <v>221.89375</v>
      </c>
      <c r="M27" s="28">
        <f>IF(M12=0,0,'таблицы в текст'!$C$249*'таблицы в текст'!$B$128)*M37</f>
        <v>55.4734375</v>
      </c>
      <c r="N27" s="28">
        <f>IF(N12=0,0,'таблицы в текст'!$C$249*'таблицы в текст'!$B$128)*N37</f>
        <v>55.4734375</v>
      </c>
      <c r="O27" s="28">
        <f>IF(O12=0,0,'таблицы в текст'!$C$249*'таблицы в текст'!$B$128)*O37</f>
        <v>55.4734375</v>
      </c>
      <c r="P27" s="28">
        <f>IF(P12=0,0,'таблицы в текст'!$C$249*'таблицы в текст'!$B$128)*P37</f>
        <v>55.4734375</v>
      </c>
      <c r="Q27" s="28">
        <f t="shared" si="16"/>
        <v>221.89375</v>
      </c>
      <c r="R27" s="28">
        <f>IF(R12=0,0,'таблицы в текст'!$C$249*'таблицы в текст'!$B$128)*R37</f>
        <v>55.4734375</v>
      </c>
      <c r="S27" s="28">
        <f>IF(S12=0,0,'таблицы в текст'!$C$249*'таблицы в текст'!$B$128)*S37</f>
        <v>55.4734375</v>
      </c>
      <c r="T27" s="28">
        <f>IF(T12=0,0,'таблицы в текст'!$C$249*'таблицы в текст'!$B$128)*T37</f>
        <v>55.4734375</v>
      </c>
      <c r="U27" s="28">
        <f>IF(U12=0,0,'таблицы в текст'!$C$249*'таблицы в текст'!$B$128)*U37</f>
        <v>55.4734375</v>
      </c>
      <c r="V27" s="28">
        <f t="shared" si="8"/>
        <v>221.89375</v>
      </c>
      <c r="W27" s="28">
        <f>IF(W12=0,0,'таблицы в текст'!$C$249*'таблицы в текст'!$B$128)*W37</f>
        <v>55.4734375</v>
      </c>
      <c r="X27" s="28">
        <f>IF(X12=0,0,'таблицы в текст'!$C$249*'таблицы в текст'!$B$128)*X37</f>
        <v>55.4734375</v>
      </c>
      <c r="Y27" s="28">
        <f>IF(Y12=0,0,'таблицы в текст'!$C$249*'таблицы в текст'!$B$128)*Y37</f>
        <v>55.4734375</v>
      </c>
      <c r="Z27" s="28">
        <f>IF(Z12=0,0,'таблицы в текст'!$C$249*'таблицы в текст'!$B$128)*Z37</f>
        <v>55.4734375</v>
      </c>
      <c r="AA27" s="29">
        <f t="shared" si="5"/>
        <v>0</v>
      </c>
      <c r="AB27" s="28">
        <f>IF(AB12=0,0,'таблицы в текст'!$C$249*'таблицы в текст'!$B$128)*AB37</f>
        <v>0</v>
      </c>
      <c r="AC27" s="28">
        <f>IF(AC12=0,0,'таблицы в текст'!$C$249*'таблицы в текст'!$B$128)*AC37</f>
        <v>0</v>
      </c>
      <c r="AD27" s="28">
        <f>IF(AD12=0,0,'таблицы в текст'!$C$249*'таблицы в текст'!$B$128)*AD37</f>
        <v>0</v>
      </c>
      <c r="AE27" s="28">
        <f>IF(AE12=0,0,'таблицы в текст'!$C$249*'таблицы в текст'!$B$128)*AE37</f>
        <v>0</v>
      </c>
      <c r="AF27" s="28">
        <f t="shared" si="7"/>
        <v>1053.9953125000002</v>
      </c>
      <c r="AG27" s="173"/>
      <c r="AH27" s="181"/>
      <c r="AI27" s="181"/>
      <c r="AJ27" s="182"/>
      <c r="AK27" s="173"/>
      <c r="AL27" s="173"/>
      <c r="AM27" s="173"/>
      <c r="AN27" s="173"/>
      <c r="AO27" s="11"/>
      <c r="AP27" s="11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</row>
    <row r="28" spans="1:94" s="8" customFormat="1" ht="19.5" customHeight="1">
      <c r="A28" s="128" t="s">
        <v>181</v>
      </c>
      <c r="B28" s="28">
        <f t="shared" si="13"/>
        <v>0</v>
      </c>
      <c r="C28" s="28">
        <f>IF(C12=0,0,'таблицы в текст'!$C$259+'таблицы в текст'!$C$260)</f>
        <v>0</v>
      </c>
      <c r="D28" s="28">
        <f>IF(D12=0,0,'таблицы в текст'!$D$259+'таблицы в текст'!$D$260)</f>
        <v>0</v>
      </c>
      <c r="E28" s="28">
        <f>IF(E12=0,0,'таблицы в текст'!$E$259+'таблицы в текст'!$E$260)</f>
        <v>0</v>
      </c>
      <c r="F28" s="28">
        <f>IF(F12=0,0,'таблицы в текст'!$F$259+'таблицы в текст'!$F$260)</f>
        <v>0</v>
      </c>
      <c r="G28" s="28">
        <f t="shared" si="14"/>
        <v>0</v>
      </c>
      <c r="H28" s="28">
        <f>IF(H12=0,0,'таблицы в текст'!$C$259+'таблицы в текст'!$C$260)</f>
        <v>0</v>
      </c>
      <c r="I28" s="28">
        <f>IF(I12=0,0,'таблицы в текст'!$D$259+'таблицы в текст'!$D$260)</f>
        <v>0</v>
      </c>
      <c r="J28" s="28">
        <f>IF(J12=0,0,'таблицы в текст'!$E$259+'таблицы в текст'!$E$260)</f>
        <v>0</v>
      </c>
      <c r="K28" s="28">
        <f>IF(K12=0,0,'таблицы в текст'!$F$259+'таблицы в текст'!$F$260)</f>
        <v>0</v>
      </c>
      <c r="L28" s="28">
        <f t="shared" si="15"/>
        <v>0</v>
      </c>
      <c r="M28" s="28">
        <f>IF(M12=0,0,'таблицы в текст'!$C$259+'таблицы в текст'!$C$260)</f>
        <v>0</v>
      </c>
      <c r="N28" s="28">
        <f>IF(N12=0,0,'таблицы в текст'!$D$259+'таблицы в текст'!$D$260)</f>
        <v>0</v>
      </c>
      <c r="O28" s="28">
        <f>IF(O12=0,0,'таблицы в текст'!$E$259+'таблицы в текст'!$E$260)</f>
        <v>0</v>
      </c>
      <c r="P28" s="28">
        <f>IF(P12=0,0,'таблицы в текст'!$F$259+'таблицы в текст'!$F$260)</f>
        <v>0</v>
      </c>
      <c r="Q28" s="28">
        <f t="shared" si="16"/>
        <v>0</v>
      </c>
      <c r="R28" s="28">
        <f>IF(R12=0,0,'таблицы в текст'!$C$259+'таблицы в текст'!$C$260)</f>
        <v>0</v>
      </c>
      <c r="S28" s="28">
        <f>IF(S12=0,0,'таблицы в текст'!$D$259+'таблицы в текст'!$D$260)</f>
        <v>0</v>
      </c>
      <c r="T28" s="28">
        <f>IF(T12=0,0,'таблицы в текст'!$E$259+'таблицы в текст'!$E$260)</f>
        <v>0</v>
      </c>
      <c r="U28" s="28">
        <f>IF(U12=0,0,'таблицы в текст'!$F$259+'таблицы в текст'!$F$260)</f>
        <v>0</v>
      </c>
      <c r="V28" s="28">
        <f t="shared" si="8"/>
        <v>0</v>
      </c>
      <c r="W28" s="28">
        <f>IF(W12=0,0,'таблицы в текст'!$C$259+'таблицы в текст'!$C$260)</f>
        <v>0</v>
      </c>
      <c r="X28" s="28">
        <f>IF(X12=0,0,'таблицы в текст'!$D$259+'таблицы в текст'!$D$260)</f>
        <v>0</v>
      </c>
      <c r="Y28" s="28">
        <f>IF(Y12=0,0,'таблицы в текст'!$E$259+'таблицы в текст'!$E$260)</f>
        <v>0</v>
      </c>
      <c r="Z28" s="28">
        <f>IF(Z12=0,0,'таблицы в текст'!$F$259+'таблицы в текст'!$F$260)</f>
        <v>0</v>
      </c>
      <c r="AA28" s="29">
        <f t="shared" si="5"/>
        <v>0</v>
      </c>
      <c r="AB28" s="28">
        <f>IF(AB12=0,0,'таблицы в текст'!$C$259+'таблицы в текст'!$C$260)</f>
        <v>0</v>
      </c>
      <c r="AC28" s="28">
        <f>IF(AC12=0,0,'таблицы в текст'!$D$259+'таблицы в текст'!$D$260)</f>
        <v>0</v>
      </c>
      <c r="AD28" s="28">
        <f>IF(AD12=0,0,'таблицы в текст'!$E$259+'таблицы в текст'!$E$260)</f>
        <v>0</v>
      </c>
      <c r="AE28" s="28">
        <f>IF(AE12=0,0,'таблицы в текст'!$F$259+'таблицы в текст'!$F$260)</f>
        <v>0</v>
      </c>
      <c r="AF28" s="28">
        <f t="shared" si="7"/>
        <v>0</v>
      </c>
      <c r="AG28" s="173"/>
      <c r="AH28" s="181"/>
      <c r="AI28" s="181"/>
      <c r="AJ28" s="182"/>
      <c r="AK28" s="173"/>
      <c r="AL28" s="173"/>
      <c r="AM28" s="173"/>
      <c r="AN28" s="173"/>
      <c r="AO28" s="11"/>
      <c r="AP28" s="11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</row>
    <row r="29" spans="1:94" s="8" customFormat="1" ht="16.5" customHeight="1">
      <c r="A29" s="19" t="s">
        <v>180</v>
      </c>
      <c r="B29" s="28">
        <f aca="true" t="shared" si="17" ref="B29:AE29">B20-B21</f>
        <v>6447.384564646345</v>
      </c>
      <c r="C29" s="28">
        <f t="shared" si="17"/>
        <v>0</v>
      </c>
      <c r="D29" s="28">
        <f t="shared" si="17"/>
        <v>2149.128188215449</v>
      </c>
      <c r="E29" s="28">
        <f t="shared" si="17"/>
        <v>2149.128188215449</v>
      </c>
      <c r="F29" s="28">
        <f t="shared" si="17"/>
        <v>2149.128188215449</v>
      </c>
      <c r="G29" s="28">
        <f t="shared" si="17"/>
        <v>9371.139936004885</v>
      </c>
      <c r="H29" s="28">
        <f t="shared" si="17"/>
        <v>2342.7849840012213</v>
      </c>
      <c r="I29" s="28">
        <f t="shared" si="17"/>
        <v>2342.7849840012213</v>
      </c>
      <c r="J29" s="28">
        <f t="shared" si="17"/>
        <v>2342.7849840012213</v>
      </c>
      <c r="K29" s="28">
        <f t="shared" si="17"/>
        <v>2342.7849840012213</v>
      </c>
      <c r="L29" s="28">
        <f t="shared" si="17"/>
        <v>10184.498478305126</v>
      </c>
      <c r="M29" s="28">
        <f t="shared" si="17"/>
        <v>2546.1246195762815</v>
      </c>
      <c r="N29" s="28">
        <f t="shared" si="17"/>
        <v>2546.1246195762815</v>
      </c>
      <c r="O29" s="28">
        <f t="shared" si="17"/>
        <v>2546.1246195762815</v>
      </c>
      <c r="P29" s="28">
        <f t="shared" si="17"/>
        <v>2546.1246195762815</v>
      </c>
      <c r="Q29" s="28">
        <f t="shared" si="17"/>
        <v>11038.524947720387</v>
      </c>
      <c r="R29" s="28">
        <f t="shared" si="17"/>
        <v>2759.6312369300967</v>
      </c>
      <c r="S29" s="28">
        <f t="shared" si="17"/>
        <v>2759.6312369300967</v>
      </c>
      <c r="T29" s="28">
        <f t="shared" si="17"/>
        <v>2759.6312369300967</v>
      </c>
      <c r="U29" s="28">
        <f t="shared" si="17"/>
        <v>2759.6312369300967</v>
      </c>
      <c r="V29" s="28">
        <f t="shared" si="8"/>
        <v>11935.252740606407</v>
      </c>
      <c r="W29" s="28">
        <f t="shared" si="17"/>
        <v>2983.813185151602</v>
      </c>
      <c r="X29" s="28">
        <f t="shared" si="17"/>
        <v>2983.813185151602</v>
      </c>
      <c r="Y29" s="28">
        <f t="shared" si="17"/>
        <v>2983.813185151602</v>
      </c>
      <c r="Z29" s="28">
        <f t="shared" si="17"/>
        <v>2983.813185151602</v>
      </c>
      <c r="AA29" s="29">
        <f t="shared" si="5"/>
        <v>0</v>
      </c>
      <c r="AB29" s="28">
        <f t="shared" si="17"/>
        <v>0</v>
      </c>
      <c r="AC29" s="28">
        <f t="shared" si="17"/>
        <v>0</v>
      </c>
      <c r="AD29" s="28">
        <f t="shared" si="17"/>
        <v>0</v>
      </c>
      <c r="AE29" s="28">
        <f t="shared" si="17"/>
        <v>0</v>
      </c>
      <c r="AF29" s="28">
        <f t="shared" si="7"/>
        <v>48976.800667283154</v>
      </c>
      <c r="AG29" s="173"/>
      <c r="AH29" s="181"/>
      <c r="AI29" s="181"/>
      <c r="AJ29" s="182"/>
      <c r="AK29" s="173"/>
      <c r="AL29" s="173"/>
      <c r="AM29" s="173"/>
      <c r="AN29" s="173"/>
      <c r="AO29" s="11"/>
      <c r="AP29" s="11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</row>
    <row r="30" spans="1:94" s="118" customFormat="1" ht="33" customHeight="1">
      <c r="A30" s="19" t="s">
        <v>40</v>
      </c>
      <c r="B30" s="29">
        <f>SUM(C30:F30)</f>
        <v>288.4502753281497</v>
      </c>
      <c r="C30" s="29">
        <f>IF(C12=0,0,'таблицы в текст'!C297)</f>
        <v>0</v>
      </c>
      <c r="D30" s="29">
        <f>IF(D12=0,0,'таблицы в текст'!D297)</f>
        <v>99.7349065041096</v>
      </c>
      <c r="E30" s="29">
        <f>IF(E12=0,0,'таблицы в текст'!E297)</f>
        <v>96.53691627113183</v>
      </c>
      <c r="F30" s="29">
        <f>IF(F12=0,0,'таблицы в текст'!F297)</f>
        <v>92.17845255290827</v>
      </c>
      <c r="G30" s="29">
        <f>SUM(H30:K30)</f>
        <v>320.3790178055422</v>
      </c>
      <c r="H30" s="29">
        <f>IF(H12=0,0,'таблицы в текст'!C304)</f>
        <v>85.82488346791071</v>
      </c>
      <c r="I30" s="29">
        <f>IF(I12=0,0,'таблицы в текст'!D304)</f>
        <v>82.25375047626726</v>
      </c>
      <c r="J30" s="29">
        <f>IF(J12=0,0,'таблицы в текст'!E304)</f>
        <v>78.51116289235256</v>
      </c>
      <c r="K30" s="29">
        <f>IF(K12=0,0,'таблицы в текст'!F304)</f>
        <v>73.7892209690117</v>
      </c>
      <c r="L30" s="29">
        <f>SUM(M30:P30)</f>
        <v>243.68789303565416</v>
      </c>
      <c r="M30" s="29">
        <f>'таблицы в текст'!C311</f>
        <v>67.47267130197338</v>
      </c>
      <c r="N30" s="29">
        <f>'таблицы в текст'!D311</f>
        <v>63.33158619916739</v>
      </c>
      <c r="O30" s="29">
        <f>'таблицы в текст'!E311</f>
        <v>58.99950896577589</v>
      </c>
      <c r="P30" s="29">
        <f>'таблицы в текст'!F311</f>
        <v>53.884126568737486</v>
      </c>
      <c r="Q30" s="29">
        <f>SUM(R30:U30)</f>
        <v>160.67495846884913</v>
      </c>
      <c r="R30" s="29">
        <f>'таблицы в текст'!C318</f>
        <v>47.607647907698514</v>
      </c>
      <c r="S30" s="29">
        <f>'таблицы в текст'!D318</f>
        <v>42.84962834928099</v>
      </c>
      <c r="T30" s="29">
        <f>'таблицы в текст'!E318</f>
        <v>37.879468601822104</v>
      </c>
      <c r="U30" s="29">
        <f>'таблицы в текст'!F318</f>
        <v>32.338213610047525</v>
      </c>
      <c r="V30" s="28">
        <f t="shared" si="8"/>
        <v>70.81909410293261</v>
      </c>
      <c r="W30" s="29">
        <f>'таблицы в текст'!C325</f>
        <v>26.1051090918319</v>
      </c>
      <c r="X30" s="29">
        <f>'таблицы в текст'!D325</f>
        <v>20.679299880447942</v>
      </c>
      <c r="Y30" s="29">
        <f>'таблицы в текст'!E325</f>
        <v>15.018459142881886</v>
      </c>
      <c r="Z30" s="29">
        <f>'таблицы в текст'!F325</f>
        <v>9.016225987770875</v>
      </c>
      <c r="AA30" s="29">
        <f>SUM(AB30:AE30)</f>
        <v>0</v>
      </c>
      <c r="AB30" s="29">
        <f>'таблицы в текст'!C332</f>
        <v>0</v>
      </c>
      <c r="AC30" s="29">
        <f>'таблицы в текст'!D332</f>
        <v>0</v>
      </c>
      <c r="AD30" s="29">
        <f>'таблицы в текст'!E332</f>
        <v>0</v>
      </c>
      <c r="AE30" s="29">
        <f>'таблицы в текст'!F332</f>
        <v>0</v>
      </c>
      <c r="AF30" s="28">
        <f t="shared" si="7"/>
        <v>1084.0112387411277</v>
      </c>
      <c r="AG30" s="183"/>
      <c r="AH30" s="181"/>
      <c r="AI30" s="181"/>
      <c r="AJ30" s="182"/>
      <c r="AK30" s="183"/>
      <c r="AL30" s="183"/>
      <c r="AM30" s="183"/>
      <c r="AN30" s="183"/>
      <c r="AO30" s="6"/>
      <c r="AP30" s="6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</row>
    <row r="31" spans="1:94" s="118" customFormat="1" ht="18.75" customHeight="1">
      <c r="A31" s="12" t="s">
        <v>41</v>
      </c>
      <c r="B31" s="28">
        <f>B29-B30</f>
        <v>6158.934289318196</v>
      </c>
      <c r="C31" s="28">
        <f aca="true" t="shared" si="18" ref="C31:AE31">C29-C30</f>
        <v>0</v>
      </c>
      <c r="D31" s="28">
        <f t="shared" si="18"/>
        <v>2049.3932817113396</v>
      </c>
      <c r="E31" s="28">
        <f t="shared" si="18"/>
        <v>2052.591271944317</v>
      </c>
      <c r="F31" s="28">
        <f t="shared" si="18"/>
        <v>2056.9497356625407</v>
      </c>
      <c r="G31" s="28">
        <f t="shared" si="18"/>
        <v>9050.760918199343</v>
      </c>
      <c r="H31" s="28">
        <f t="shared" si="18"/>
        <v>2256.9601005333107</v>
      </c>
      <c r="I31" s="28">
        <f t="shared" si="18"/>
        <v>2260.531233524954</v>
      </c>
      <c r="J31" s="28">
        <f t="shared" si="18"/>
        <v>2264.273821108869</v>
      </c>
      <c r="K31" s="28">
        <f t="shared" si="18"/>
        <v>2268.9957630322097</v>
      </c>
      <c r="L31" s="28">
        <f t="shared" si="18"/>
        <v>9940.810585269472</v>
      </c>
      <c r="M31" s="28">
        <f t="shared" si="18"/>
        <v>2478.651948274308</v>
      </c>
      <c r="N31" s="28">
        <f t="shared" si="18"/>
        <v>2482.793033377114</v>
      </c>
      <c r="O31" s="28">
        <f t="shared" si="18"/>
        <v>2487.1251106105055</v>
      </c>
      <c r="P31" s="28">
        <f t="shared" si="18"/>
        <v>2492.240493007544</v>
      </c>
      <c r="Q31" s="28">
        <f t="shared" si="18"/>
        <v>10877.849989251537</v>
      </c>
      <c r="R31" s="28">
        <f t="shared" si="18"/>
        <v>2712.023589022398</v>
      </c>
      <c r="S31" s="28">
        <f t="shared" si="18"/>
        <v>2716.781608580816</v>
      </c>
      <c r="T31" s="28">
        <f t="shared" si="18"/>
        <v>2721.7517683282745</v>
      </c>
      <c r="U31" s="28">
        <f t="shared" si="18"/>
        <v>2727.293023320049</v>
      </c>
      <c r="V31" s="28">
        <f t="shared" si="8"/>
        <v>11864.433646503476</v>
      </c>
      <c r="W31" s="28">
        <f t="shared" si="18"/>
        <v>2957.70807605977</v>
      </c>
      <c r="X31" s="28">
        <f t="shared" si="18"/>
        <v>2963.1338852711538</v>
      </c>
      <c r="Y31" s="28">
        <f t="shared" si="18"/>
        <v>2968.79472600872</v>
      </c>
      <c r="Z31" s="28">
        <f t="shared" si="18"/>
        <v>2974.796959163831</v>
      </c>
      <c r="AA31" s="29">
        <f>SUM(AB31:AE31)</f>
        <v>0</v>
      </c>
      <c r="AB31" s="28">
        <f t="shared" si="18"/>
        <v>0</v>
      </c>
      <c r="AC31" s="28">
        <f t="shared" si="18"/>
        <v>0</v>
      </c>
      <c r="AD31" s="28">
        <f t="shared" si="18"/>
        <v>0</v>
      </c>
      <c r="AE31" s="28">
        <f t="shared" si="18"/>
        <v>0</v>
      </c>
      <c r="AF31" s="28">
        <f t="shared" si="7"/>
        <v>47892.789428542026</v>
      </c>
      <c r="AG31" s="183"/>
      <c r="AH31" s="181"/>
      <c r="AI31" s="181"/>
      <c r="AJ31" s="182"/>
      <c r="AK31" s="183"/>
      <c r="AL31" s="183"/>
      <c r="AM31" s="183"/>
      <c r="AN31" s="183"/>
      <c r="AO31" s="6"/>
      <c r="AP31" s="6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</row>
    <row r="32" spans="1:94" s="118" customFormat="1" ht="18.75" customHeight="1">
      <c r="A32" s="12" t="s">
        <v>186</v>
      </c>
      <c r="B32" s="28">
        <f aca="true" t="shared" si="19" ref="B32:AE32">B33+B34</f>
        <v>615.8934289318197</v>
      </c>
      <c r="C32" s="28">
        <f t="shared" si="19"/>
        <v>0</v>
      </c>
      <c r="D32" s="28">
        <f t="shared" si="19"/>
        <v>204.93932817113398</v>
      </c>
      <c r="E32" s="28">
        <f t="shared" si="19"/>
        <v>205.25912719443173</v>
      </c>
      <c r="F32" s="28">
        <f t="shared" si="19"/>
        <v>205.69497356625408</v>
      </c>
      <c r="G32" s="28">
        <f t="shared" si="19"/>
        <v>905.0760918199344</v>
      </c>
      <c r="H32" s="28">
        <f t="shared" si="19"/>
        <v>225.69601005333107</v>
      </c>
      <c r="I32" s="28">
        <f t="shared" si="19"/>
        <v>226.05312335249542</v>
      </c>
      <c r="J32" s="28">
        <f t="shared" si="19"/>
        <v>226.42738211088692</v>
      </c>
      <c r="K32" s="28">
        <f t="shared" si="19"/>
        <v>226.89957630322098</v>
      </c>
      <c r="L32" s="28">
        <f t="shared" si="19"/>
        <v>994.0810585269471</v>
      </c>
      <c r="M32" s="28">
        <f t="shared" si="19"/>
        <v>247.8651948274308</v>
      </c>
      <c r="N32" s="28">
        <f t="shared" si="19"/>
        <v>248.27930333771144</v>
      </c>
      <c r="O32" s="28">
        <f t="shared" si="19"/>
        <v>248.71251106105058</v>
      </c>
      <c r="P32" s="28">
        <f t="shared" si="19"/>
        <v>249.22404930075442</v>
      </c>
      <c r="Q32" s="28">
        <f t="shared" si="19"/>
        <v>1087.7849989251538</v>
      </c>
      <c r="R32" s="28">
        <f t="shared" si="19"/>
        <v>271.20235890223984</v>
      </c>
      <c r="S32" s="28">
        <f t="shared" si="19"/>
        <v>271.6781608580816</v>
      </c>
      <c r="T32" s="28">
        <f t="shared" si="19"/>
        <v>272.17517683282745</v>
      </c>
      <c r="U32" s="28">
        <f t="shared" si="19"/>
        <v>272.7293023320049</v>
      </c>
      <c r="V32" s="28">
        <f t="shared" si="19"/>
        <v>1186.4433646503476</v>
      </c>
      <c r="W32" s="28">
        <f t="shared" si="19"/>
        <v>295.77080760597704</v>
      </c>
      <c r="X32" s="28">
        <f t="shared" si="19"/>
        <v>296.31338852711536</v>
      </c>
      <c r="Y32" s="28">
        <f t="shared" si="19"/>
        <v>296.879472600872</v>
      </c>
      <c r="Z32" s="28">
        <f t="shared" si="19"/>
        <v>297.47969591638315</v>
      </c>
      <c r="AA32" s="28">
        <f t="shared" si="19"/>
        <v>0</v>
      </c>
      <c r="AB32" s="28">
        <f t="shared" si="19"/>
        <v>0</v>
      </c>
      <c r="AC32" s="28">
        <f t="shared" si="19"/>
        <v>0</v>
      </c>
      <c r="AD32" s="28">
        <f t="shared" si="19"/>
        <v>0</v>
      </c>
      <c r="AE32" s="28">
        <f t="shared" si="19"/>
        <v>0</v>
      </c>
      <c r="AF32" s="28">
        <f t="shared" si="7"/>
        <v>4789.278942854203</v>
      </c>
      <c r="AG32" s="183"/>
      <c r="AH32" s="181"/>
      <c r="AI32" s="181"/>
      <c r="AJ32" s="182"/>
      <c r="AK32" s="183"/>
      <c r="AL32" s="183"/>
      <c r="AM32" s="183"/>
      <c r="AN32" s="183"/>
      <c r="AO32" s="6"/>
      <c r="AP32" s="6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</row>
    <row r="33" spans="1:94" s="118" customFormat="1" ht="18" customHeight="1">
      <c r="A33" s="19" t="s">
        <v>187</v>
      </c>
      <c r="B33" s="28">
        <f>SUM(C33:F33)</f>
        <v>0</v>
      </c>
      <c r="C33" s="28">
        <f>IF('таблицы в текст'!$G$257&gt;0,C12*0.06,0)</f>
        <v>0</v>
      </c>
      <c r="D33" s="28">
        <f>IF('таблицы в текст'!$G$257&gt;0,D12*0.06,0)</f>
        <v>0</v>
      </c>
      <c r="E33" s="28">
        <f>IF('таблицы в текст'!$G$257&gt;0,E12*0.06,0)</f>
        <v>0</v>
      </c>
      <c r="F33" s="28">
        <f>IF('таблицы в текст'!$G$257&gt;0,F12*0.06,0)</f>
        <v>0</v>
      </c>
      <c r="G33" s="28">
        <f>SUM(H33:K33)</f>
        <v>0</v>
      </c>
      <c r="H33" s="28">
        <f>IF('таблицы в текст'!$G$257&gt;0,H12*0.06,0)</f>
        <v>0</v>
      </c>
      <c r="I33" s="28">
        <f>IF('таблицы в текст'!$G$257&gt;0,I12*0.06,0)</f>
        <v>0</v>
      </c>
      <c r="J33" s="28">
        <f>IF('таблицы в текст'!$G$257&gt;0,J12*0.06,0)</f>
        <v>0</v>
      </c>
      <c r="K33" s="28">
        <f>IF('таблицы в текст'!$G$257&gt;0,K12*0.06,0)</f>
        <v>0</v>
      </c>
      <c r="L33" s="28">
        <f>SUM(M33:P33)</f>
        <v>0</v>
      </c>
      <c r="M33" s="28">
        <f>IF('таблицы в текст'!$G$257&gt;0,M12*0.06,0)</f>
        <v>0</v>
      </c>
      <c r="N33" s="28">
        <f>IF('таблицы в текст'!$G$257&gt;0,N12*0.06,0)</f>
        <v>0</v>
      </c>
      <c r="O33" s="28">
        <f>IF('таблицы в текст'!$G$257&gt;0,O12*0.06,0)</f>
        <v>0</v>
      </c>
      <c r="P33" s="28">
        <f>IF('таблицы в текст'!$G$257&gt;0,P12*0.06,0)</f>
        <v>0</v>
      </c>
      <c r="Q33" s="28">
        <f>SUM(R33:U33)</f>
        <v>0</v>
      </c>
      <c r="R33" s="28">
        <f>IF('таблицы в текст'!$G$257&gt;0,R12*0.06,0)</f>
        <v>0</v>
      </c>
      <c r="S33" s="28">
        <f>IF('таблицы в текст'!$G$257&gt;0,S12*0.06,0)</f>
        <v>0</v>
      </c>
      <c r="T33" s="28">
        <f>IF('таблицы в текст'!$G$257&gt;0,T12*0.06,0)</f>
        <v>0</v>
      </c>
      <c r="U33" s="28">
        <f>IF('таблицы в текст'!$G$257&gt;0,U12*0.06,0)</f>
        <v>0</v>
      </c>
      <c r="V33" s="28">
        <f>SUM(W33:Z33)</f>
        <v>0</v>
      </c>
      <c r="W33" s="28">
        <f>IF('таблицы в текст'!$G$257&gt;0,W12*0.06,0)</f>
        <v>0</v>
      </c>
      <c r="X33" s="28">
        <f>IF('таблицы в текст'!$G$257&gt;0,X12*0.06,0)</f>
        <v>0</v>
      </c>
      <c r="Y33" s="28">
        <f>IF('таблицы в текст'!$G$257&gt;0,Y12*0.06,0)</f>
        <v>0</v>
      </c>
      <c r="Z33" s="28">
        <f>IF('таблицы в текст'!$G$257&gt;0,Z12*0.06,0)</f>
        <v>0</v>
      </c>
      <c r="AA33" s="28">
        <f>SUM(AB33:AE33)</f>
        <v>0</v>
      </c>
      <c r="AB33" s="28">
        <f>IF('таблицы в текст'!$G$257&gt;0,AB12*0.06,0)</f>
        <v>0</v>
      </c>
      <c r="AC33" s="28">
        <f>IF('таблицы в текст'!$G$257&gt;0,AC12*0.06,0)</f>
        <v>0</v>
      </c>
      <c r="AD33" s="28">
        <f>IF('таблицы в текст'!$G$257&gt;0,AD12*0.06,0)</f>
        <v>0</v>
      </c>
      <c r="AE33" s="28">
        <f>IF('таблицы в текст'!$G$257&gt;0,AE12*0.06,0)</f>
        <v>0</v>
      </c>
      <c r="AF33" s="28">
        <f t="shared" si="7"/>
        <v>0</v>
      </c>
      <c r="AG33" s="183"/>
      <c r="AH33" s="181"/>
      <c r="AI33" s="181"/>
      <c r="AJ33" s="182"/>
      <c r="AK33" s="183"/>
      <c r="AL33" s="183"/>
      <c r="AM33" s="183"/>
      <c r="AN33" s="183"/>
      <c r="AO33" s="6"/>
      <c r="AP33" s="6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</row>
    <row r="34" spans="1:94" s="118" customFormat="1" ht="18" customHeight="1">
      <c r="A34" s="19" t="s">
        <v>188</v>
      </c>
      <c r="B34" s="28">
        <f>SUM(C34:F34)</f>
        <v>615.8934289318197</v>
      </c>
      <c r="C34" s="28">
        <f>IF('таблицы в текст'!$G$258&gt;0,(C12-C13-C21-C30)*0.1,0)</f>
        <v>0</v>
      </c>
      <c r="D34" s="28">
        <f>IF('таблицы в текст'!$G$258&gt;0,(D12-D13-D21-D30)*0.1,0)</f>
        <v>204.93932817113398</v>
      </c>
      <c r="E34" s="28">
        <f>IF('таблицы в текст'!$G$258&gt;0,(E12-E13-E21-E30)*0.1,0)</f>
        <v>205.25912719443173</v>
      </c>
      <c r="F34" s="28">
        <f>IF('таблицы в текст'!$G$258&gt;0,(F12-F13-F21-F30)*0.1,0)</f>
        <v>205.69497356625408</v>
      </c>
      <c r="G34" s="28">
        <f>SUM(H34:K34)</f>
        <v>905.0760918199344</v>
      </c>
      <c r="H34" s="28">
        <f>IF('таблицы в текст'!$G$258&gt;0,(H12-H13-H21-H30)*0.1,0)</f>
        <v>225.69601005333107</v>
      </c>
      <c r="I34" s="28">
        <f>IF('таблицы в текст'!$G$258&gt;0,(I12-I13-I21-I30)*0.1,0)</f>
        <v>226.05312335249542</v>
      </c>
      <c r="J34" s="28">
        <f>IF('таблицы в текст'!$G$258&gt;0,(J12-J13-J21-J30)*0.1,0)</f>
        <v>226.42738211088692</v>
      </c>
      <c r="K34" s="28">
        <f>IF('таблицы в текст'!$G$258&gt;0,(K12-K13-K21-K30)*0.1,0)</f>
        <v>226.89957630322098</v>
      </c>
      <c r="L34" s="28">
        <f>SUM(M34:P34)</f>
        <v>994.0810585269471</v>
      </c>
      <c r="M34" s="28">
        <f>IF('таблицы в текст'!$G$258&gt;0,(M12-M13-M21-M30)*0.1,0)</f>
        <v>247.8651948274308</v>
      </c>
      <c r="N34" s="28">
        <f>IF('таблицы в текст'!$G$258&gt;0,(N12-N13-N21-N30)*0.1,0)</f>
        <v>248.27930333771144</v>
      </c>
      <c r="O34" s="28">
        <f>IF('таблицы в текст'!$G$258&gt;0,(O12-O13-O21-O30)*0.1,0)</f>
        <v>248.71251106105058</v>
      </c>
      <c r="P34" s="28">
        <f>IF('таблицы в текст'!$G$258&gt;0,(P12-P13-P21-P30)*0.1,0)</f>
        <v>249.22404930075442</v>
      </c>
      <c r="Q34" s="28">
        <f>SUM(R34:U34)</f>
        <v>1087.7849989251538</v>
      </c>
      <c r="R34" s="28">
        <f>IF('таблицы в текст'!$G$258&gt;0,(R12-R13-R21-R30)*0.1,0)</f>
        <v>271.20235890223984</v>
      </c>
      <c r="S34" s="28">
        <f>IF('таблицы в текст'!$G$258&gt;0,(S12-S13-S21-S30)*0.1,0)</f>
        <v>271.6781608580816</v>
      </c>
      <c r="T34" s="28">
        <f>IF('таблицы в текст'!$G$258&gt;0,(T12-T13-T21-T30)*0.1,0)</f>
        <v>272.17517683282745</v>
      </c>
      <c r="U34" s="28">
        <f>IF('таблицы в текст'!$G$258&gt;0,(U12-U13-U21-U30)*0.1,0)</f>
        <v>272.7293023320049</v>
      </c>
      <c r="V34" s="28">
        <f>SUM(W34:Z34)</f>
        <v>1186.4433646503476</v>
      </c>
      <c r="W34" s="28">
        <f>IF('таблицы в текст'!$G$258&gt;0,(W12-W13-W21-W30)*0.1,0)</f>
        <v>295.77080760597704</v>
      </c>
      <c r="X34" s="28">
        <f>IF('таблицы в текст'!$G$258&gt;0,(X12-X13-X21-X30)*0.1,0)</f>
        <v>296.31338852711536</v>
      </c>
      <c r="Y34" s="28">
        <f>IF('таблицы в текст'!$G$258&gt;0,(Y12-Y13-Y21-Y30)*0.1,0)</f>
        <v>296.879472600872</v>
      </c>
      <c r="Z34" s="28">
        <f>IF('таблицы в текст'!$G$258&gt;0,(Z12-Z13-Z21-Z30)*0.1,0)</f>
        <v>297.47969591638315</v>
      </c>
      <c r="AA34" s="28">
        <f>SUM(AB34:AE34)</f>
        <v>0</v>
      </c>
      <c r="AB34" s="28">
        <f>IF('таблицы в текст'!$G$258&gt;0,(AB12-AB13-AB21-AB30)*0.1,0)</f>
        <v>0</v>
      </c>
      <c r="AC34" s="28">
        <f>IF('таблицы в текст'!$G$258&gt;0,(AC12-AC13-AC21-AC30)*0.1,0)</f>
        <v>0</v>
      </c>
      <c r="AD34" s="28">
        <f>IF('таблицы в текст'!$G$258&gt;0,(AD12-AD13-AD21-AD30)*0.1,0)</f>
        <v>0</v>
      </c>
      <c r="AE34" s="28">
        <f>IF('таблицы в текст'!$G$258&gt;0,(AE12-AE13-AE21-AE30)*0.1,0)</f>
        <v>0</v>
      </c>
      <c r="AF34" s="28">
        <f t="shared" si="7"/>
        <v>4789.278942854203</v>
      </c>
      <c r="AG34" s="183"/>
      <c r="AH34" s="181"/>
      <c r="AI34" s="181"/>
      <c r="AJ34" s="182"/>
      <c r="AK34" s="183"/>
      <c r="AL34" s="183"/>
      <c r="AM34" s="183"/>
      <c r="AN34" s="183"/>
      <c r="AO34" s="6"/>
      <c r="AP34" s="6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</row>
    <row r="35" spans="1:94" s="139" customFormat="1" ht="19.5" customHeight="1">
      <c r="A35" s="137" t="s">
        <v>42</v>
      </c>
      <c r="B35" s="138">
        <f>B31-B33</f>
        <v>6158.934289318196</v>
      </c>
      <c r="C35" s="138">
        <f aca="true" t="shared" si="20" ref="C35:AF35">C31-C33</f>
        <v>0</v>
      </c>
      <c r="D35" s="138">
        <f t="shared" si="20"/>
        <v>2049.3932817113396</v>
      </c>
      <c r="E35" s="138">
        <f t="shared" si="20"/>
        <v>2052.591271944317</v>
      </c>
      <c r="F35" s="138">
        <f t="shared" si="20"/>
        <v>2056.9497356625407</v>
      </c>
      <c r="G35" s="138">
        <f t="shared" si="20"/>
        <v>9050.760918199343</v>
      </c>
      <c r="H35" s="138">
        <f t="shared" si="20"/>
        <v>2256.9601005333107</v>
      </c>
      <c r="I35" s="138">
        <f t="shared" si="20"/>
        <v>2260.531233524954</v>
      </c>
      <c r="J35" s="138">
        <f t="shared" si="20"/>
        <v>2264.273821108869</v>
      </c>
      <c r="K35" s="138">
        <f t="shared" si="20"/>
        <v>2268.9957630322097</v>
      </c>
      <c r="L35" s="138">
        <f t="shared" si="20"/>
        <v>9940.810585269472</v>
      </c>
      <c r="M35" s="138">
        <f t="shared" si="20"/>
        <v>2478.651948274308</v>
      </c>
      <c r="N35" s="138">
        <f t="shared" si="20"/>
        <v>2482.793033377114</v>
      </c>
      <c r="O35" s="138">
        <f t="shared" si="20"/>
        <v>2487.1251106105055</v>
      </c>
      <c r="P35" s="138">
        <f t="shared" si="20"/>
        <v>2492.240493007544</v>
      </c>
      <c r="Q35" s="138">
        <f t="shared" si="20"/>
        <v>10877.849989251537</v>
      </c>
      <c r="R35" s="138">
        <f t="shared" si="20"/>
        <v>2712.023589022398</v>
      </c>
      <c r="S35" s="138">
        <f t="shared" si="20"/>
        <v>2716.781608580816</v>
      </c>
      <c r="T35" s="138">
        <f t="shared" si="20"/>
        <v>2721.7517683282745</v>
      </c>
      <c r="U35" s="138">
        <f t="shared" si="20"/>
        <v>2727.293023320049</v>
      </c>
      <c r="V35" s="138">
        <f t="shared" si="20"/>
        <v>11864.433646503476</v>
      </c>
      <c r="W35" s="138">
        <f t="shared" si="20"/>
        <v>2957.70807605977</v>
      </c>
      <c r="X35" s="138">
        <f t="shared" si="20"/>
        <v>2963.1338852711538</v>
      </c>
      <c r="Y35" s="138">
        <f t="shared" si="20"/>
        <v>2968.79472600872</v>
      </c>
      <c r="Z35" s="138">
        <f t="shared" si="20"/>
        <v>2974.796959163831</v>
      </c>
      <c r="AA35" s="138">
        <f t="shared" si="20"/>
        <v>0</v>
      </c>
      <c r="AB35" s="138">
        <f t="shared" si="20"/>
        <v>0</v>
      </c>
      <c r="AC35" s="138">
        <f t="shared" si="20"/>
        <v>0</v>
      </c>
      <c r="AD35" s="138">
        <f t="shared" si="20"/>
        <v>0</v>
      </c>
      <c r="AE35" s="138">
        <f t="shared" si="20"/>
        <v>0</v>
      </c>
      <c r="AF35" s="138">
        <f t="shared" si="20"/>
        <v>47892.789428542026</v>
      </c>
      <c r="AG35" s="184"/>
      <c r="AH35" s="181"/>
      <c r="AI35" s="185"/>
      <c r="AJ35" s="186"/>
      <c r="AK35" s="184"/>
      <c r="AL35" s="184"/>
      <c r="AM35" s="184"/>
      <c r="AN35" s="184"/>
      <c r="AO35" s="176"/>
      <c r="AP35" s="176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</row>
    <row r="36" spans="1:42" s="9" customFormat="1" ht="15.75" customHeight="1" hidden="1" outlineLevel="1">
      <c r="A36" s="134" t="s">
        <v>182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73"/>
      <c r="AH36" s="173"/>
      <c r="AI36" s="173"/>
      <c r="AJ36" s="173"/>
      <c r="AK36" s="173"/>
      <c r="AL36" s="173"/>
      <c r="AM36" s="173"/>
      <c r="AN36" s="173"/>
      <c r="AO36" s="11"/>
      <c r="AP36" s="11"/>
    </row>
    <row r="37" spans="1:42" s="9" customFormat="1" ht="15.75" customHeight="1" hidden="1" outlineLevel="1">
      <c r="A37" s="134" t="s">
        <v>183</v>
      </c>
      <c r="B37" s="135"/>
      <c r="C37" s="135"/>
      <c r="D37" s="135"/>
      <c r="E37" s="135"/>
      <c r="F37" s="135"/>
      <c r="G37" s="136">
        <f>'таблицы в текст'!D28</f>
        <v>1</v>
      </c>
      <c r="H37" s="136">
        <f>G37</f>
        <v>1</v>
      </c>
      <c r="I37" s="136">
        <f>H37</f>
        <v>1</v>
      </c>
      <c r="J37" s="136">
        <f>I37</f>
        <v>1</v>
      </c>
      <c r="K37" s="136">
        <f>J37</f>
        <v>1</v>
      </c>
      <c r="L37" s="136">
        <f aca="true" t="shared" si="21" ref="L37:AE37">K37</f>
        <v>1</v>
      </c>
      <c r="M37" s="136">
        <f t="shared" si="21"/>
        <v>1</v>
      </c>
      <c r="N37" s="136">
        <f t="shared" si="21"/>
        <v>1</v>
      </c>
      <c r="O37" s="136">
        <f t="shared" si="21"/>
        <v>1</v>
      </c>
      <c r="P37" s="136">
        <f t="shared" si="21"/>
        <v>1</v>
      </c>
      <c r="Q37" s="136">
        <f t="shared" si="21"/>
        <v>1</v>
      </c>
      <c r="R37" s="136">
        <f t="shared" si="21"/>
        <v>1</v>
      </c>
      <c r="S37" s="136">
        <f t="shared" si="21"/>
        <v>1</v>
      </c>
      <c r="T37" s="136">
        <f t="shared" si="21"/>
        <v>1</v>
      </c>
      <c r="U37" s="136">
        <f t="shared" si="21"/>
        <v>1</v>
      </c>
      <c r="V37" s="136">
        <f t="shared" si="21"/>
        <v>1</v>
      </c>
      <c r="W37" s="136">
        <f t="shared" si="21"/>
        <v>1</v>
      </c>
      <c r="X37" s="136">
        <f t="shared" si="21"/>
        <v>1</v>
      </c>
      <c r="Y37" s="136">
        <f t="shared" si="21"/>
        <v>1</v>
      </c>
      <c r="Z37" s="136">
        <f t="shared" si="21"/>
        <v>1</v>
      </c>
      <c r="AA37" s="136">
        <f t="shared" si="21"/>
        <v>1</v>
      </c>
      <c r="AB37" s="136">
        <f t="shared" si="21"/>
        <v>1</v>
      </c>
      <c r="AC37" s="136">
        <f t="shared" si="21"/>
        <v>1</v>
      </c>
      <c r="AD37" s="136">
        <f t="shared" si="21"/>
        <v>1</v>
      </c>
      <c r="AE37" s="136">
        <f t="shared" si="21"/>
        <v>1</v>
      </c>
      <c r="AF37" s="135"/>
      <c r="AG37" s="173"/>
      <c r="AH37" s="173"/>
      <c r="AI37" s="173"/>
      <c r="AJ37" s="173"/>
      <c r="AK37" s="173"/>
      <c r="AL37" s="173"/>
      <c r="AM37" s="173"/>
      <c r="AN37" s="173"/>
      <c r="AO37" s="11"/>
      <c r="AP37" s="11"/>
    </row>
    <row r="38" spans="1:42" s="9" customFormat="1" ht="15.75" customHeight="1" hidden="1" outlineLevel="1">
      <c r="A38" s="134" t="s">
        <v>184</v>
      </c>
      <c r="B38" s="135"/>
      <c r="C38" s="135"/>
      <c r="D38" s="135"/>
      <c r="E38" s="135"/>
      <c r="F38" s="135"/>
      <c r="G38" s="136">
        <f>'таблицы в текст'!D28</f>
        <v>1</v>
      </c>
      <c r="H38" s="136">
        <f aca="true" t="shared" si="22" ref="H38:K39">G38</f>
        <v>1</v>
      </c>
      <c r="I38" s="136">
        <f t="shared" si="22"/>
        <v>1</v>
      </c>
      <c r="J38" s="136">
        <f t="shared" si="22"/>
        <v>1</v>
      </c>
      <c r="K38" s="136">
        <f t="shared" si="22"/>
        <v>1</v>
      </c>
      <c r="L38" s="136">
        <f aca="true" t="shared" si="23" ref="L38:AE38">K38</f>
        <v>1</v>
      </c>
      <c r="M38" s="136">
        <f t="shared" si="23"/>
        <v>1</v>
      </c>
      <c r="N38" s="136">
        <f t="shared" si="23"/>
        <v>1</v>
      </c>
      <c r="O38" s="136">
        <f t="shared" si="23"/>
        <v>1</v>
      </c>
      <c r="P38" s="136">
        <f t="shared" si="23"/>
        <v>1</v>
      </c>
      <c r="Q38" s="136">
        <f t="shared" si="23"/>
        <v>1</v>
      </c>
      <c r="R38" s="136">
        <f t="shared" si="23"/>
        <v>1</v>
      </c>
      <c r="S38" s="136">
        <f t="shared" si="23"/>
        <v>1</v>
      </c>
      <c r="T38" s="136">
        <f t="shared" si="23"/>
        <v>1</v>
      </c>
      <c r="U38" s="136">
        <f t="shared" si="23"/>
        <v>1</v>
      </c>
      <c r="V38" s="136">
        <f t="shared" si="23"/>
        <v>1</v>
      </c>
      <c r="W38" s="136">
        <f t="shared" si="23"/>
        <v>1</v>
      </c>
      <c r="X38" s="136">
        <f t="shared" si="23"/>
        <v>1</v>
      </c>
      <c r="Y38" s="136">
        <f t="shared" si="23"/>
        <v>1</v>
      </c>
      <c r="Z38" s="136">
        <f t="shared" si="23"/>
        <v>1</v>
      </c>
      <c r="AA38" s="136">
        <f t="shared" si="23"/>
        <v>1</v>
      </c>
      <c r="AB38" s="136">
        <f t="shared" si="23"/>
        <v>1</v>
      </c>
      <c r="AC38" s="136">
        <f t="shared" si="23"/>
        <v>1</v>
      </c>
      <c r="AD38" s="136">
        <f t="shared" si="23"/>
        <v>1</v>
      </c>
      <c r="AE38" s="136">
        <f t="shared" si="23"/>
        <v>1</v>
      </c>
      <c r="AF38" s="135"/>
      <c r="AG38" s="173"/>
      <c r="AH38" s="173"/>
      <c r="AI38" s="173"/>
      <c r="AJ38" s="173"/>
      <c r="AK38" s="173"/>
      <c r="AL38" s="173"/>
      <c r="AM38" s="173"/>
      <c r="AN38" s="173"/>
      <c r="AO38" s="11"/>
      <c r="AP38" s="11"/>
    </row>
    <row r="39" spans="1:42" s="9" customFormat="1" ht="15.75" customHeight="1" hidden="1" outlineLevel="1">
      <c r="A39" s="134" t="s">
        <v>185</v>
      </c>
      <c r="B39" s="135"/>
      <c r="C39" s="135"/>
      <c r="D39" s="135"/>
      <c r="E39" s="135"/>
      <c r="F39" s="135"/>
      <c r="G39" s="136">
        <f>'таблицы в текст'!D28</f>
        <v>1</v>
      </c>
      <c r="H39" s="136">
        <f t="shared" si="22"/>
        <v>1</v>
      </c>
      <c r="I39" s="136">
        <f t="shared" si="22"/>
        <v>1</v>
      </c>
      <c r="J39" s="136">
        <f t="shared" si="22"/>
        <v>1</v>
      </c>
      <c r="K39" s="136">
        <f t="shared" si="22"/>
        <v>1</v>
      </c>
      <c r="L39" s="136">
        <f aca="true" t="shared" si="24" ref="L39:AE39">K39</f>
        <v>1</v>
      </c>
      <c r="M39" s="136">
        <f t="shared" si="24"/>
        <v>1</v>
      </c>
      <c r="N39" s="136">
        <f t="shared" si="24"/>
        <v>1</v>
      </c>
      <c r="O39" s="136">
        <f t="shared" si="24"/>
        <v>1</v>
      </c>
      <c r="P39" s="136">
        <f t="shared" si="24"/>
        <v>1</v>
      </c>
      <c r="Q39" s="136">
        <f t="shared" si="24"/>
        <v>1</v>
      </c>
      <c r="R39" s="136">
        <f t="shared" si="24"/>
        <v>1</v>
      </c>
      <c r="S39" s="136">
        <f t="shared" si="24"/>
        <v>1</v>
      </c>
      <c r="T39" s="136">
        <f t="shared" si="24"/>
        <v>1</v>
      </c>
      <c r="U39" s="136">
        <f t="shared" si="24"/>
        <v>1</v>
      </c>
      <c r="V39" s="136">
        <f t="shared" si="24"/>
        <v>1</v>
      </c>
      <c r="W39" s="136">
        <f t="shared" si="24"/>
        <v>1</v>
      </c>
      <c r="X39" s="136">
        <f t="shared" si="24"/>
        <v>1</v>
      </c>
      <c r="Y39" s="136">
        <f t="shared" si="24"/>
        <v>1</v>
      </c>
      <c r="Z39" s="136">
        <f t="shared" si="24"/>
        <v>1</v>
      </c>
      <c r="AA39" s="136">
        <f t="shared" si="24"/>
        <v>1</v>
      </c>
      <c r="AB39" s="136">
        <f t="shared" si="24"/>
        <v>1</v>
      </c>
      <c r="AC39" s="136">
        <f t="shared" si="24"/>
        <v>1</v>
      </c>
      <c r="AD39" s="136">
        <f t="shared" si="24"/>
        <v>1</v>
      </c>
      <c r="AE39" s="136">
        <f t="shared" si="24"/>
        <v>1</v>
      </c>
      <c r="AF39" s="135"/>
      <c r="AG39" s="173"/>
      <c r="AH39" s="173"/>
      <c r="AI39" s="173"/>
      <c r="AJ39" s="173"/>
      <c r="AK39" s="173"/>
      <c r="AL39" s="173"/>
      <c r="AM39" s="173"/>
      <c r="AN39" s="173"/>
      <c r="AO39" s="11"/>
      <c r="AP39" s="11"/>
    </row>
    <row r="40" spans="13:16" ht="12.75" collapsed="1">
      <c r="M40" s="25"/>
      <c r="N40" s="25"/>
      <c r="O40" s="25"/>
      <c r="P40" s="25"/>
    </row>
    <row r="47" ht="12.75">
      <c r="C47" s="18"/>
    </row>
  </sheetData>
  <sheetProtection/>
  <mergeCells count="19">
    <mergeCell ref="AF7:AF9"/>
    <mergeCell ref="L8:L9"/>
    <mergeCell ref="G7:K7"/>
    <mergeCell ref="L7:P7"/>
    <mergeCell ref="R8:U8"/>
    <mergeCell ref="V7:Z7"/>
    <mergeCell ref="AB7:AE7"/>
    <mergeCell ref="AA8:AA9"/>
    <mergeCell ref="Q7:U7"/>
    <mergeCell ref="A7:A9"/>
    <mergeCell ref="B7:F7"/>
    <mergeCell ref="B8:B9"/>
    <mergeCell ref="W8:X8"/>
    <mergeCell ref="H8:K8"/>
    <mergeCell ref="C8:F8"/>
    <mergeCell ref="Q8:Q9"/>
    <mergeCell ref="M8:P8"/>
    <mergeCell ref="G8:G9"/>
    <mergeCell ref="V8:V9"/>
  </mergeCells>
  <printOptions horizontalCentered="1"/>
  <pageMargins left="0.15748031496062992" right="0.15748031496062992" top="0.5905511811023623" bottom="0.3937007874015748" header="0.7086614173228347" footer="0.6299212598425197"/>
  <pageSetup fitToWidth="2" fitToHeight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49"/>
  <sheetViews>
    <sheetView showZeros="0" zoomScale="90" zoomScaleNormal="90" zoomScalePageLayoutView="0" workbookViewId="0" topLeftCell="A1">
      <pane xSplit="1" ySplit="10" topLeftCell="B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F1" sqref="A1:AF31"/>
    </sheetView>
  </sheetViews>
  <sheetFormatPr defaultColWidth="9.140625" defaultRowHeight="13.5" customHeight="1"/>
  <cols>
    <col min="1" max="1" width="41.140625" style="41" customWidth="1"/>
    <col min="2" max="2" width="9.00390625" style="23" customWidth="1"/>
    <col min="3" max="3" width="8.7109375" style="23" customWidth="1"/>
    <col min="4" max="4" width="8.28125" style="23" customWidth="1"/>
    <col min="5" max="5" width="8.140625" style="23" customWidth="1"/>
    <col min="6" max="6" width="8.57421875" style="23" customWidth="1"/>
    <col min="7" max="7" width="8.7109375" style="23" customWidth="1"/>
    <col min="8" max="21" width="7.28125" style="23" customWidth="1"/>
    <col min="22" max="22" width="9.00390625" style="23" customWidth="1"/>
    <col min="23" max="23" width="6.00390625" style="23" customWidth="1"/>
    <col min="24" max="24" width="8.00390625" style="23" customWidth="1"/>
    <col min="25" max="25" width="7.421875" style="23" customWidth="1"/>
    <col min="26" max="26" width="7.28125" style="23" customWidth="1"/>
    <col min="27" max="27" width="0" style="44" hidden="1" customWidth="1"/>
    <col min="28" max="31" width="0" style="35" hidden="1" customWidth="1"/>
    <col min="32" max="33" width="9.140625" style="35" customWidth="1"/>
    <col min="34" max="34" width="13.7109375" style="35" customWidth="1"/>
    <col min="35" max="16384" width="9.140625" style="35" customWidth="1"/>
  </cols>
  <sheetData>
    <row r="1" spans="1:5" s="96" customFormat="1" ht="18">
      <c r="A1" s="108"/>
      <c r="B1" s="109" t="str">
        <f>'таблицы в текст'!B1</f>
        <v>НАЗВАНИЕ ПРОЕКТА:</v>
      </c>
      <c r="C1" s="110"/>
      <c r="D1" s="110"/>
      <c r="E1" s="45" t="str">
        <f>'таблицы в текст'!C1</f>
        <v>Бизнес-план организации производства замороженных полуфабрикатов в п. ХХХ ХХХ района Республики Саха (Якутия)</v>
      </c>
    </row>
    <row r="2" spans="1:42" s="1" customFormat="1" ht="12.75">
      <c r="A2" s="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s="3" customFormat="1" ht="20.25">
      <c r="A3" s="111" t="s">
        <v>189</v>
      </c>
      <c r="B3" s="112"/>
      <c r="C3" s="112"/>
      <c r="D3" s="113"/>
      <c r="E3" s="113"/>
      <c r="F3" s="113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s="3" customFormat="1" ht="18.75">
      <c r="A4" s="5"/>
      <c r="B4" s="7"/>
      <c r="C4" s="7"/>
      <c r="D4" s="7"/>
      <c r="E4" s="7"/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s="3" customFormat="1" ht="18.75">
      <c r="A5" s="98" t="s">
        <v>190</v>
      </c>
      <c r="D5" s="21"/>
      <c r="E5" s="21"/>
      <c r="F5" s="2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27" s="30" customFormat="1" ht="18.75" customHeight="1">
      <c r="A6" s="31"/>
      <c r="AA6" s="43"/>
    </row>
    <row r="7" spans="1:34" s="95" customFormat="1" ht="13.5" customHeight="1">
      <c r="A7" s="304" t="s">
        <v>5</v>
      </c>
      <c r="B7" s="305">
        <f>'таблицы в текст'!D33</f>
        <v>2019</v>
      </c>
      <c r="C7" s="305"/>
      <c r="D7" s="305"/>
      <c r="E7" s="305"/>
      <c r="F7" s="305"/>
      <c r="G7" s="305">
        <f>B7+1</f>
        <v>2020</v>
      </c>
      <c r="H7" s="305"/>
      <c r="I7" s="305"/>
      <c r="J7" s="305"/>
      <c r="K7" s="305"/>
      <c r="L7" s="308">
        <f>G7+1</f>
        <v>2021</v>
      </c>
      <c r="M7" s="308"/>
      <c r="N7" s="308"/>
      <c r="O7" s="308"/>
      <c r="P7" s="308"/>
      <c r="Q7" s="297">
        <f>L7+1</f>
        <v>2022</v>
      </c>
      <c r="R7" s="298"/>
      <c r="S7" s="298"/>
      <c r="T7" s="298"/>
      <c r="U7" s="299"/>
      <c r="V7" s="297">
        <f>Q7+1</f>
        <v>2023</v>
      </c>
      <c r="W7" s="298"/>
      <c r="X7" s="298"/>
      <c r="Y7" s="298"/>
      <c r="Z7" s="299"/>
      <c r="AA7" s="297">
        <f>V7+1</f>
        <v>2024</v>
      </c>
      <c r="AB7" s="298"/>
      <c r="AC7" s="298"/>
      <c r="AD7" s="298"/>
      <c r="AE7" s="299"/>
      <c r="AF7" s="300" t="s">
        <v>10</v>
      </c>
      <c r="AH7" s="169"/>
    </row>
    <row r="8" spans="1:32" s="34" customFormat="1" ht="13.5" customHeight="1">
      <c r="A8" s="304"/>
      <c r="B8" s="306" t="s">
        <v>6</v>
      </c>
      <c r="C8" s="307" t="s">
        <v>7</v>
      </c>
      <c r="D8" s="307"/>
      <c r="E8" s="307"/>
      <c r="F8" s="307"/>
      <c r="G8" s="306" t="s">
        <v>6</v>
      </c>
      <c r="H8" s="307" t="s">
        <v>7</v>
      </c>
      <c r="I8" s="307"/>
      <c r="J8" s="307"/>
      <c r="K8" s="307"/>
      <c r="L8" s="300" t="s">
        <v>6</v>
      </c>
      <c r="M8" s="307" t="s">
        <v>7</v>
      </c>
      <c r="N8" s="307"/>
      <c r="O8" s="307"/>
      <c r="P8" s="307"/>
      <c r="Q8" s="300" t="s">
        <v>6</v>
      </c>
      <c r="R8" s="301" t="s">
        <v>7</v>
      </c>
      <c r="S8" s="302"/>
      <c r="T8" s="302"/>
      <c r="U8" s="303"/>
      <c r="V8" s="300" t="s">
        <v>6</v>
      </c>
      <c r="W8" s="301" t="s">
        <v>7</v>
      </c>
      <c r="X8" s="302"/>
      <c r="Y8" s="302"/>
      <c r="Z8" s="303"/>
      <c r="AA8" s="300" t="s">
        <v>6</v>
      </c>
      <c r="AB8" s="301" t="s">
        <v>7</v>
      </c>
      <c r="AC8" s="302"/>
      <c r="AD8" s="302"/>
      <c r="AE8" s="303"/>
      <c r="AF8" s="300"/>
    </row>
    <row r="9" spans="1:32" s="34" customFormat="1" ht="13.5" customHeight="1">
      <c r="A9" s="304"/>
      <c r="B9" s="306"/>
      <c r="C9" s="32">
        <v>1</v>
      </c>
      <c r="D9" s="32">
        <v>2</v>
      </c>
      <c r="E9" s="32">
        <v>3</v>
      </c>
      <c r="F9" s="32">
        <v>4</v>
      </c>
      <c r="G9" s="306"/>
      <c r="H9" s="32">
        <v>1</v>
      </c>
      <c r="I9" s="32">
        <v>2</v>
      </c>
      <c r="J9" s="32">
        <v>3</v>
      </c>
      <c r="K9" s="32">
        <v>4</v>
      </c>
      <c r="L9" s="300"/>
      <c r="M9" s="32">
        <v>1</v>
      </c>
      <c r="N9" s="32">
        <v>2</v>
      </c>
      <c r="O9" s="32">
        <v>3</v>
      </c>
      <c r="P9" s="32">
        <v>4</v>
      </c>
      <c r="Q9" s="300"/>
      <c r="R9" s="33">
        <f>M9</f>
        <v>1</v>
      </c>
      <c r="S9" s="33">
        <v>2</v>
      </c>
      <c r="T9" s="33">
        <f>O9</f>
        <v>3</v>
      </c>
      <c r="U9" s="33">
        <f>P9</f>
        <v>4</v>
      </c>
      <c r="V9" s="300"/>
      <c r="W9" s="33">
        <f>R9</f>
        <v>1</v>
      </c>
      <c r="X9" s="33">
        <v>2</v>
      </c>
      <c r="Y9" s="33">
        <f>T9</f>
        <v>3</v>
      </c>
      <c r="Z9" s="33">
        <f>U9</f>
        <v>4</v>
      </c>
      <c r="AA9" s="300"/>
      <c r="AB9" s="33">
        <f>W9</f>
        <v>1</v>
      </c>
      <c r="AC9" s="33">
        <v>3</v>
      </c>
      <c r="AD9" s="33">
        <f>Y9</f>
        <v>3</v>
      </c>
      <c r="AE9" s="33">
        <f>Z9</f>
        <v>4</v>
      </c>
      <c r="AF9" s="300"/>
    </row>
    <row r="10" spans="1:32" ht="13.5" customHeight="1">
      <c r="A10" s="140" t="s">
        <v>191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</row>
    <row r="11" spans="1:32" s="15" customFormat="1" ht="17.25" customHeight="1">
      <c r="A11" s="13" t="str">
        <f>'приложение 1'!A12</f>
        <v>Выручка </v>
      </c>
      <c r="B11" s="17">
        <f aca="true" t="shared" si="0" ref="B11:B16">SUM(C11:F11)</f>
        <v>21584.0625</v>
      </c>
      <c r="C11" s="13">
        <f>'приложение 1'!C12</f>
        <v>0</v>
      </c>
      <c r="D11" s="13">
        <f>'приложение 1'!D12</f>
        <v>7194.6875</v>
      </c>
      <c r="E11" s="13">
        <f>'приложение 1'!E12</f>
        <v>7194.6875</v>
      </c>
      <c r="F11" s="13">
        <f>'приложение 1'!F12</f>
        <v>7194.6875</v>
      </c>
      <c r="G11" s="17">
        <f aca="true" t="shared" si="1" ref="G11:G16">SUM(H11:K11)</f>
        <v>30217.6875</v>
      </c>
      <c r="H11" s="13">
        <f>'приложение 1'!H12</f>
        <v>7554.421875</v>
      </c>
      <c r="I11" s="13">
        <f>'приложение 1'!I12</f>
        <v>7554.421875</v>
      </c>
      <c r="J11" s="13">
        <f>'приложение 1'!J12</f>
        <v>7554.421875</v>
      </c>
      <c r="K11" s="13">
        <f>'приложение 1'!K12</f>
        <v>7554.421875</v>
      </c>
      <c r="L11" s="17">
        <f aca="true" t="shared" si="2" ref="L11:L16">SUM(M11:P11)</f>
        <v>31728.571875</v>
      </c>
      <c r="M11" s="13">
        <f>'приложение 1'!M12</f>
        <v>7932.14296875</v>
      </c>
      <c r="N11" s="13">
        <f>'приложение 1'!N12</f>
        <v>7932.14296875</v>
      </c>
      <c r="O11" s="13">
        <f>'приложение 1'!O12</f>
        <v>7932.14296875</v>
      </c>
      <c r="P11" s="13">
        <f>'приложение 1'!P12</f>
        <v>7932.14296875</v>
      </c>
      <c r="Q11" s="17">
        <f aca="true" t="shared" si="3" ref="Q11:Q16">SUM(R11:U11)</f>
        <v>33315.000468750004</v>
      </c>
      <c r="R11" s="13">
        <f>'приложение 1'!R12</f>
        <v>8328.750117187501</v>
      </c>
      <c r="S11" s="13">
        <f>'приложение 1'!S12</f>
        <v>8328.750117187501</v>
      </c>
      <c r="T11" s="13">
        <f>'приложение 1'!T12</f>
        <v>8328.750117187501</v>
      </c>
      <c r="U11" s="13">
        <f>'приложение 1'!U12</f>
        <v>8328.750117187501</v>
      </c>
      <c r="V11" s="17">
        <f aca="true" t="shared" si="4" ref="V11:V16">SUM(W11:Z11)</f>
        <v>34980.75049218751</v>
      </c>
      <c r="W11" s="13">
        <f>'приложение 1'!W12</f>
        <v>8745.187623046877</v>
      </c>
      <c r="X11" s="13">
        <f>'приложение 1'!X12</f>
        <v>8745.187623046877</v>
      </c>
      <c r="Y11" s="13">
        <f>'приложение 1'!Y12</f>
        <v>8745.187623046877</v>
      </c>
      <c r="Z11" s="13">
        <f>'приложение 1'!Z12</f>
        <v>8745.187623046877</v>
      </c>
      <c r="AA11" s="17">
        <f aca="true" t="shared" si="5" ref="AA11:AA16">SUM(AB11:AE11)</f>
        <v>0</v>
      </c>
      <c r="AB11" s="13">
        <f>'приложение 1'!AB12</f>
        <v>0</v>
      </c>
      <c r="AC11" s="13">
        <f>'приложение 1'!AC12</f>
        <v>0</v>
      </c>
      <c r="AD11" s="13">
        <f>'приложение 1'!AD12</f>
        <v>0</v>
      </c>
      <c r="AE11" s="13">
        <f>'приложение 1'!AE12</f>
        <v>0</v>
      </c>
      <c r="AF11" s="13">
        <f>AA11+V11+Q11+L11+G11+B11</f>
        <v>151826.07283593752</v>
      </c>
    </row>
    <row r="12" spans="1:32" s="15" customFormat="1" ht="17.25" customHeight="1" hidden="1">
      <c r="A12" s="13"/>
      <c r="B12" s="17">
        <f t="shared" si="0"/>
        <v>0</v>
      </c>
      <c r="C12" s="13"/>
      <c r="D12" s="13"/>
      <c r="E12" s="13"/>
      <c r="F12" s="13"/>
      <c r="G12" s="17">
        <f t="shared" si="1"/>
        <v>0</v>
      </c>
      <c r="H12" s="13"/>
      <c r="I12" s="13"/>
      <c r="J12" s="13"/>
      <c r="K12" s="13"/>
      <c r="L12" s="17">
        <f t="shared" si="2"/>
        <v>0</v>
      </c>
      <c r="M12" s="13"/>
      <c r="N12" s="13"/>
      <c r="O12" s="13"/>
      <c r="P12" s="13"/>
      <c r="Q12" s="17">
        <f t="shared" si="3"/>
        <v>0</v>
      </c>
      <c r="R12" s="13"/>
      <c r="S12" s="13"/>
      <c r="T12" s="13"/>
      <c r="U12" s="13"/>
      <c r="V12" s="17">
        <f t="shared" si="4"/>
        <v>0</v>
      </c>
      <c r="W12" s="13"/>
      <c r="X12" s="13"/>
      <c r="Y12" s="13"/>
      <c r="Z12" s="13"/>
      <c r="AA12" s="17">
        <f t="shared" si="5"/>
        <v>0</v>
      </c>
      <c r="AB12" s="13"/>
      <c r="AC12" s="13"/>
      <c r="AD12" s="13"/>
      <c r="AE12" s="13"/>
      <c r="AF12" s="13">
        <f aca="true" t="shared" si="6" ref="AF12:AF19">AA12+V12+Q12+L12+G12+B12</f>
        <v>0</v>
      </c>
    </row>
    <row r="13" spans="1:34" s="24" customFormat="1" ht="16.5" customHeight="1">
      <c r="A13" s="36" t="s">
        <v>192</v>
      </c>
      <c r="B13" s="17">
        <f t="shared" si="0"/>
        <v>15136.677935353653</v>
      </c>
      <c r="C13" s="17">
        <f>'приложение 1'!C13+'приложение 1'!C21-'приложение 1'!C28</f>
        <v>0</v>
      </c>
      <c r="D13" s="17">
        <f>'приложение 1'!D13+'приложение 1'!D21-'приложение 1'!D28</f>
        <v>5045.559311784551</v>
      </c>
      <c r="E13" s="17">
        <f>'приложение 1'!E13+'приложение 1'!E21-'приложение 1'!E28</f>
        <v>5045.559311784551</v>
      </c>
      <c r="F13" s="17">
        <f>'приложение 1'!F13+'приложение 1'!F21-'приложение 1'!F28</f>
        <v>5045.559311784551</v>
      </c>
      <c r="G13" s="17">
        <f t="shared" si="1"/>
        <v>20846.547563995115</v>
      </c>
      <c r="H13" s="17">
        <f>'приложение 1'!H13+'приложение 1'!H21-'приложение 1'!H28</f>
        <v>5211.636890998779</v>
      </c>
      <c r="I13" s="17">
        <f>'приложение 1'!I13+'приложение 1'!I21-'приложение 1'!I28</f>
        <v>5211.636890998779</v>
      </c>
      <c r="J13" s="17">
        <f>'приложение 1'!J13+'приложение 1'!J21-'приложение 1'!J28</f>
        <v>5211.636890998779</v>
      </c>
      <c r="K13" s="17">
        <f>'приложение 1'!K13+'приложение 1'!K21-'приложение 1'!K28</f>
        <v>5211.636890998779</v>
      </c>
      <c r="L13" s="17">
        <f t="shared" si="2"/>
        <v>21544.073396694872</v>
      </c>
      <c r="M13" s="17">
        <f>'приложение 1'!M13+'приложение 1'!M21-'приложение 1'!M28</f>
        <v>5386.018349173718</v>
      </c>
      <c r="N13" s="17">
        <f>'приложение 1'!N13+'приложение 1'!N21-'приложение 1'!N28</f>
        <v>5386.018349173718</v>
      </c>
      <c r="O13" s="17">
        <f>'приложение 1'!O13+'приложение 1'!O21-'приложение 1'!O28</f>
        <v>5386.018349173718</v>
      </c>
      <c r="P13" s="17">
        <f>'приложение 1'!P13+'приложение 1'!P21-'приложение 1'!P28</f>
        <v>5386.018349173718</v>
      </c>
      <c r="Q13" s="17">
        <f t="shared" si="3"/>
        <v>22276.475521029617</v>
      </c>
      <c r="R13" s="17">
        <f>'приложение 1'!R13+'приложение 1'!R21-'приложение 1'!R28</f>
        <v>5569.118880257404</v>
      </c>
      <c r="S13" s="17">
        <f>'приложение 1'!S13+'приложение 1'!S21-'приложение 1'!S28</f>
        <v>5569.118880257404</v>
      </c>
      <c r="T13" s="17">
        <f>'приложение 1'!T13+'приложение 1'!T21-'приложение 1'!T28</f>
        <v>5569.118880257404</v>
      </c>
      <c r="U13" s="17">
        <f>'приложение 1'!U13+'приложение 1'!U21-'приложение 1'!U28</f>
        <v>5569.118880257404</v>
      </c>
      <c r="V13" s="17">
        <f t="shared" si="4"/>
        <v>23045.4977515811</v>
      </c>
      <c r="W13" s="17">
        <f>'приложение 1'!W13+'приложение 1'!W21-'приложение 1'!W28</f>
        <v>5761.374437895275</v>
      </c>
      <c r="X13" s="17">
        <f>'приложение 1'!X13+'приложение 1'!X21-'приложение 1'!X28</f>
        <v>5761.374437895275</v>
      </c>
      <c r="Y13" s="17">
        <f>'приложение 1'!Y13+'приложение 1'!Y21-'приложение 1'!Y28</f>
        <v>5761.374437895275</v>
      </c>
      <c r="Z13" s="17">
        <f>'приложение 1'!Z13+'приложение 1'!Z21-'приложение 1'!Z28</f>
        <v>5761.374437895275</v>
      </c>
      <c r="AA13" s="17">
        <f t="shared" si="5"/>
        <v>0</v>
      </c>
      <c r="AB13" s="17">
        <f>'приложение 1'!AB13+'приложение 1'!AB21-'приложение 1'!AB28</f>
        <v>0</v>
      </c>
      <c r="AC13" s="17">
        <f>'приложение 1'!AC13+'приложение 1'!AC21-'приложение 1'!AC28</f>
        <v>0</v>
      </c>
      <c r="AD13" s="17">
        <f>'приложение 1'!AD13+'приложение 1'!AD21-'приложение 1'!AD28</f>
        <v>0</v>
      </c>
      <c r="AE13" s="17">
        <f>'приложение 1'!AE13+'приложение 1'!AE21-'приложение 1'!AE28</f>
        <v>0</v>
      </c>
      <c r="AF13" s="13">
        <f t="shared" si="6"/>
        <v>102849.27216865437</v>
      </c>
      <c r="AH13" s="15"/>
    </row>
    <row r="14" spans="1:34" s="24" customFormat="1" ht="16.5" customHeight="1">
      <c r="A14" s="36" t="s">
        <v>194</v>
      </c>
      <c r="B14" s="17">
        <f t="shared" si="0"/>
        <v>580.8428700000001</v>
      </c>
      <c r="C14" s="17">
        <f>'приложение 1'!C26</f>
        <v>0</v>
      </c>
      <c r="D14" s="17">
        <f>'приложение 1'!D26</f>
        <v>193.61429</v>
      </c>
      <c r="E14" s="17">
        <f>'приложение 1'!E26</f>
        <v>193.61429</v>
      </c>
      <c r="F14" s="17">
        <f>'приложение 1'!F26</f>
        <v>193.61429</v>
      </c>
      <c r="G14" s="17">
        <f t="shared" si="1"/>
        <v>774.45716</v>
      </c>
      <c r="H14" s="17">
        <f>'приложение 1'!H26</f>
        <v>193.61429</v>
      </c>
      <c r="I14" s="17">
        <f>'приложение 1'!I26</f>
        <v>193.61429</v>
      </c>
      <c r="J14" s="17">
        <f>'приложение 1'!J26</f>
        <v>193.61429</v>
      </c>
      <c r="K14" s="17">
        <f>'приложение 1'!K26</f>
        <v>193.61429</v>
      </c>
      <c r="L14" s="17">
        <f t="shared" si="2"/>
        <v>774.45716</v>
      </c>
      <c r="M14" s="17">
        <f>'приложение 1'!M26</f>
        <v>193.61429</v>
      </c>
      <c r="N14" s="17">
        <f>'приложение 1'!N26</f>
        <v>193.61429</v>
      </c>
      <c r="O14" s="17">
        <f>'приложение 1'!O26</f>
        <v>193.61429</v>
      </c>
      <c r="P14" s="17">
        <f>'приложение 1'!P26</f>
        <v>193.61429</v>
      </c>
      <c r="Q14" s="17">
        <f t="shared" si="3"/>
        <v>774.45716</v>
      </c>
      <c r="R14" s="17">
        <f>'приложение 1'!R26</f>
        <v>193.61429</v>
      </c>
      <c r="S14" s="17">
        <f>'приложение 1'!S26</f>
        <v>193.61429</v>
      </c>
      <c r="T14" s="17">
        <f>'приложение 1'!T26</f>
        <v>193.61429</v>
      </c>
      <c r="U14" s="17">
        <f>'приложение 1'!U26</f>
        <v>193.61429</v>
      </c>
      <c r="V14" s="17">
        <f t="shared" si="4"/>
        <v>774.45716</v>
      </c>
      <c r="W14" s="17">
        <f>'приложение 1'!W26</f>
        <v>193.61429</v>
      </c>
      <c r="X14" s="17">
        <f>'приложение 1'!X26</f>
        <v>193.61429</v>
      </c>
      <c r="Y14" s="17">
        <f>'приложение 1'!Y26</f>
        <v>193.61429</v>
      </c>
      <c r="Z14" s="17">
        <f>'приложение 1'!Z26</f>
        <v>193.61429</v>
      </c>
      <c r="AA14" s="17">
        <f t="shared" si="5"/>
        <v>0</v>
      </c>
      <c r="AB14" s="17">
        <f>'приложение 1'!AB26</f>
        <v>0</v>
      </c>
      <c r="AC14" s="17">
        <f>'приложение 1'!AC26</f>
        <v>0</v>
      </c>
      <c r="AD14" s="17">
        <f>'приложение 1'!AD26</f>
        <v>0</v>
      </c>
      <c r="AE14" s="17">
        <f>'приложение 1'!AE26</f>
        <v>0</v>
      </c>
      <c r="AF14" s="13">
        <f t="shared" si="6"/>
        <v>3678.67151</v>
      </c>
      <c r="AH14" s="15"/>
    </row>
    <row r="15" spans="1:32" s="15" customFormat="1" ht="14.25" customHeight="1">
      <c r="A15" s="37" t="s">
        <v>193</v>
      </c>
      <c r="B15" s="17">
        <f t="shared" si="0"/>
        <v>615.8934289318197</v>
      </c>
      <c r="C15" s="13">
        <f>'приложение 1'!C28+'приложение 1'!C32</f>
        <v>0</v>
      </c>
      <c r="D15" s="13">
        <f>'приложение 1'!D28+'приложение 1'!D32</f>
        <v>204.93932817113398</v>
      </c>
      <c r="E15" s="13">
        <f>'приложение 1'!E28+'приложение 1'!E32</f>
        <v>205.25912719443173</v>
      </c>
      <c r="F15" s="13">
        <f>'приложение 1'!F28+'приложение 1'!F32</f>
        <v>205.69497356625408</v>
      </c>
      <c r="G15" s="17">
        <f t="shared" si="1"/>
        <v>905.0760918199344</v>
      </c>
      <c r="H15" s="13">
        <f>'приложение 1'!H28+'приложение 1'!H32</f>
        <v>225.69601005333107</v>
      </c>
      <c r="I15" s="13">
        <f>'приложение 1'!I28+'приложение 1'!I32</f>
        <v>226.05312335249542</v>
      </c>
      <c r="J15" s="13">
        <f>'приложение 1'!J28+'приложение 1'!J32</f>
        <v>226.42738211088692</v>
      </c>
      <c r="K15" s="13">
        <f>'приложение 1'!K28+'приложение 1'!K32</f>
        <v>226.89957630322098</v>
      </c>
      <c r="L15" s="17">
        <f t="shared" si="2"/>
        <v>994.0810585269471</v>
      </c>
      <c r="M15" s="13">
        <f>'приложение 1'!M28+'приложение 1'!M32</f>
        <v>247.8651948274308</v>
      </c>
      <c r="N15" s="13">
        <f>'приложение 1'!N28+'приложение 1'!N32</f>
        <v>248.27930333771144</v>
      </c>
      <c r="O15" s="13">
        <f>'приложение 1'!O28+'приложение 1'!O32</f>
        <v>248.71251106105058</v>
      </c>
      <c r="P15" s="13">
        <f>'приложение 1'!P28+'приложение 1'!P32</f>
        <v>249.22404930075442</v>
      </c>
      <c r="Q15" s="17">
        <f t="shared" si="3"/>
        <v>1087.7849989251538</v>
      </c>
      <c r="R15" s="13">
        <f>'приложение 1'!R28+'приложение 1'!R32</f>
        <v>271.20235890223984</v>
      </c>
      <c r="S15" s="13">
        <f>'приложение 1'!S28+'приложение 1'!S32</f>
        <v>271.6781608580816</v>
      </c>
      <c r="T15" s="13">
        <f>'приложение 1'!T28+'приложение 1'!T32</f>
        <v>272.17517683282745</v>
      </c>
      <c r="U15" s="13">
        <f>'приложение 1'!U28+'приложение 1'!U32</f>
        <v>272.7293023320049</v>
      </c>
      <c r="V15" s="17">
        <f t="shared" si="4"/>
        <v>1186.4433646503476</v>
      </c>
      <c r="W15" s="13">
        <f>'приложение 1'!W28+'приложение 1'!W32</f>
        <v>295.77080760597704</v>
      </c>
      <c r="X15" s="13">
        <f>'приложение 1'!X28+'приложение 1'!X32</f>
        <v>296.31338852711536</v>
      </c>
      <c r="Y15" s="13">
        <f>'приложение 1'!Y28+'приложение 1'!Y32</f>
        <v>296.879472600872</v>
      </c>
      <c r="Z15" s="13">
        <f>'приложение 1'!Z28+'приложение 1'!Z32</f>
        <v>297.47969591638315</v>
      </c>
      <c r="AA15" s="17">
        <f t="shared" si="5"/>
        <v>0</v>
      </c>
      <c r="AB15" s="13">
        <f>'приложение 1'!AB28+'приложение 1'!AB32</f>
        <v>0</v>
      </c>
      <c r="AC15" s="13">
        <f>'приложение 1'!AC28+'приложение 1'!AC32</f>
        <v>0</v>
      </c>
      <c r="AD15" s="13">
        <f>'приложение 1'!AD28+'приложение 1'!AD32</f>
        <v>0</v>
      </c>
      <c r="AE15" s="13">
        <f>'приложение 1'!AE28+'приложение 1'!AE32</f>
        <v>0</v>
      </c>
      <c r="AF15" s="13">
        <f t="shared" si="6"/>
        <v>4789.278942854203</v>
      </c>
    </row>
    <row r="16" spans="1:34" s="16" customFormat="1" ht="15" customHeight="1">
      <c r="A16" s="13" t="s">
        <v>43</v>
      </c>
      <c r="B16" s="17">
        <f t="shared" si="0"/>
        <v>6412.334005714527</v>
      </c>
      <c r="C16" s="17">
        <f>C11-C13+C14-C15</f>
        <v>0</v>
      </c>
      <c r="D16" s="17">
        <f>D11-D13+D14-D15</f>
        <v>2137.803150044315</v>
      </c>
      <c r="E16" s="17">
        <f>E11-E13+E14-E15</f>
        <v>2137.4833510210174</v>
      </c>
      <c r="F16" s="17">
        <f>F11-F13+F14-F15</f>
        <v>2137.0475046491947</v>
      </c>
      <c r="G16" s="17">
        <f t="shared" si="1"/>
        <v>9240.521004184951</v>
      </c>
      <c r="H16" s="17">
        <f>H11-H13+H14-H15</f>
        <v>2310.7032639478903</v>
      </c>
      <c r="I16" s="17">
        <f>I11-I13+I14-I15</f>
        <v>2310.346150648726</v>
      </c>
      <c r="J16" s="17">
        <f>J11-J13+J14-J15</f>
        <v>2309.9718918903345</v>
      </c>
      <c r="K16" s="17">
        <f>K11-K13+K14-K15</f>
        <v>2309.4996976980005</v>
      </c>
      <c r="L16" s="17">
        <f t="shared" si="2"/>
        <v>9964.874579778181</v>
      </c>
      <c r="M16" s="17">
        <f>M11-M13+M14-M15</f>
        <v>2491.8737147488514</v>
      </c>
      <c r="N16" s="17">
        <f>N11-N13+N14-N15</f>
        <v>2491.459606238571</v>
      </c>
      <c r="O16" s="17">
        <f>O11-O13+O14-O15</f>
        <v>2491.026398515232</v>
      </c>
      <c r="P16" s="17">
        <f>P11-P13+P14-P15</f>
        <v>2490.514860275528</v>
      </c>
      <c r="Q16" s="17">
        <f t="shared" si="3"/>
        <v>10725.197108795233</v>
      </c>
      <c r="R16" s="17">
        <f>R11-R13+R14-R15</f>
        <v>2682.043168027857</v>
      </c>
      <c r="S16" s="17">
        <f>S11-S13+S14-S15</f>
        <v>2681.567366072015</v>
      </c>
      <c r="T16" s="17">
        <f>T11-T13+T14-T15</f>
        <v>2681.0703500972695</v>
      </c>
      <c r="U16" s="17">
        <f>U11-U13+U14-U15</f>
        <v>2680.516224598092</v>
      </c>
      <c r="V16" s="17">
        <f t="shared" si="4"/>
        <v>11523.26653595606</v>
      </c>
      <c r="W16" s="17">
        <f>W11-W13+W14-W15</f>
        <v>2881.6566675456247</v>
      </c>
      <c r="X16" s="17">
        <f>X11-X13+X14-X15</f>
        <v>2881.1140866244864</v>
      </c>
      <c r="Y16" s="17">
        <f>Y11-Y13+Y14-Y15</f>
        <v>2880.54800255073</v>
      </c>
      <c r="Z16" s="17">
        <f>Z11-Z13+Z14-Z15</f>
        <v>2879.9477792352186</v>
      </c>
      <c r="AA16" s="17">
        <f t="shared" si="5"/>
        <v>0</v>
      </c>
      <c r="AB16" s="17">
        <f>AB11-AB13+AB14-AB15</f>
        <v>0</v>
      </c>
      <c r="AC16" s="17">
        <f>AC11-AC13+AC14-AC15</f>
        <v>0</v>
      </c>
      <c r="AD16" s="17">
        <f>AD11-AD13+AD14-AD15</f>
        <v>0</v>
      </c>
      <c r="AE16" s="17">
        <f>AE11-AE13+AE14-AE15</f>
        <v>0</v>
      </c>
      <c r="AF16" s="13">
        <f t="shared" si="6"/>
        <v>47866.19323442895</v>
      </c>
      <c r="AH16" s="15"/>
    </row>
    <row r="17" spans="1:32" s="15" customFormat="1" ht="13.5" customHeight="1">
      <c r="A17" s="140" t="s">
        <v>197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</row>
    <row r="18" spans="1:32" s="15" customFormat="1" ht="15.75" customHeight="1">
      <c r="A18" s="13" t="s">
        <v>195</v>
      </c>
      <c r="B18" s="13">
        <f>SUM(C18:F18)</f>
        <v>5000.445175</v>
      </c>
      <c r="C18" s="13">
        <f>IF('таблицы в текст'!$D$35=1,'таблицы в текст'!$C$285,0)</f>
        <v>5000.445175</v>
      </c>
      <c r="D18" s="13">
        <f>IF('таблицы в текст'!$D$35=2,'таблицы в текст'!$C$285,0)</f>
        <v>0</v>
      </c>
      <c r="E18" s="13">
        <f>IF('таблицы в текст'!$D$35=3,'таблицы в текст'!$C$285,0)</f>
        <v>0</v>
      </c>
      <c r="F18" s="13">
        <f>IF('таблицы в текст'!$D$35=4,'таблицы в текст'!$C$285,0)</f>
        <v>0</v>
      </c>
      <c r="G18" s="13">
        <f>SUM(H18:K18)</f>
        <v>0</v>
      </c>
      <c r="H18" s="13"/>
      <c r="I18" s="13"/>
      <c r="J18" s="13"/>
      <c r="K18" s="13"/>
      <c r="L18" s="13">
        <f>SUM(M18:P18)</f>
        <v>0</v>
      </c>
      <c r="M18" s="13"/>
      <c r="N18" s="13"/>
      <c r="O18" s="13"/>
      <c r="P18" s="13"/>
      <c r="Q18" s="13">
        <f>SUM(R18:U18)</f>
        <v>0</v>
      </c>
      <c r="R18" s="13"/>
      <c r="S18" s="13"/>
      <c r="T18" s="13"/>
      <c r="U18" s="13"/>
      <c r="V18" s="13">
        <f>SUM(W18:Z18)</f>
        <v>0</v>
      </c>
      <c r="W18" s="13"/>
      <c r="X18" s="13"/>
      <c r="Y18" s="13"/>
      <c r="Z18" s="13"/>
      <c r="AA18" s="13">
        <f>SUM(AB18:AE18)</f>
        <v>0</v>
      </c>
      <c r="AB18" s="13"/>
      <c r="AC18" s="13"/>
      <c r="AD18" s="13"/>
      <c r="AE18" s="13"/>
      <c r="AF18" s="13">
        <f t="shared" si="6"/>
        <v>5000.445175</v>
      </c>
    </row>
    <row r="19" spans="1:34" s="16" customFormat="1" ht="15.75" customHeight="1">
      <c r="A19" s="17" t="s">
        <v>45</v>
      </c>
      <c r="B19" s="17">
        <f aca="true" t="shared" si="7" ref="B19:AE19">-B18</f>
        <v>-5000.445175</v>
      </c>
      <c r="C19" s="17">
        <f t="shared" si="7"/>
        <v>-5000.445175</v>
      </c>
      <c r="D19" s="17">
        <f t="shared" si="7"/>
        <v>0</v>
      </c>
      <c r="E19" s="17">
        <f t="shared" si="7"/>
        <v>0</v>
      </c>
      <c r="F19" s="17">
        <f t="shared" si="7"/>
        <v>0</v>
      </c>
      <c r="G19" s="17">
        <f t="shared" si="7"/>
        <v>0</v>
      </c>
      <c r="H19" s="17">
        <f t="shared" si="7"/>
        <v>0</v>
      </c>
      <c r="I19" s="17">
        <f t="shared" si="7"/>
        <v>0</v>
      </c>
      <c r="J19" s="17">
        <f t="shared" si="7"/>
        <v>0</v>
      </c>
      <c r="K19" s="17">
        <f t="shared" si="7"/>
        <v>0</v>
      </c>
      <c r="L19" s="17">
        <f t="shared" si="7"/>
        <v>0</v>
      </c>
      <c r="M19" s="17">
        <f t="shared" si="7"/>
        <v>0</v>
      </c>
      <c r="N19" s="17">
        <f t="shared" si="7"/>
        <v>0</v>
      </c>
      <c r="O19" s="17">
        <f t="shared" si="7"/>
        <v>0</v>
      </c>
      <c r="P19" s="17">
        <f t="shared" si="7"/>
        <v>0</v>
      </c>
      <c r="Q19" s="17">
        <f t="shared" si="7"/>
        <v>0</v>
      </c>
      <c r="R19" s="17">
        <f t="shared" si="7"/>
        <v>0</v>
      </c>
      <c r="S19" s="17">
        <f t="shared" si="7"/>
        <v>0</v>
      </c>
      <c r="T19" s="17">
        <f t="shared" si="7"/>
        <v>0</v>
      </c>
      <c r="U19" s="17">
        <f t="shared" si="7"/>
        <v>0</v>
      </c>
      <c r="V19" s="17">
        <f t="shared" si="7"/>
        <v>0</v>
      </c>
      <c r="W19" s="17">
        <f t="shared" si="7"/>
        <v>0</v>
      </c>
      <c r="X19" s="17">
        <f t="shared" si="7"/>
        <v>0</v>
      </c>
      <c r="Y19" s="17">
        <f t="shared" si="7"/>
        <v>0</v>
      </c>
      <c r="Z19" s="17">
        <f t="shared" si="7"/>
        <v>0</v>
      </c>
      <c r="AA19" s="17">
        <f t="shared" si="7"/>
        <v>0</v>
      </c>
      <c r="AB19" s="17">
        <f t="shared" si="7"/>
        <v>0</v>
      </c>
      <c r="AC19" s="17">
        <f t="shared" si="7"/>
        <v>0</v>
      </c>
      <c r="AD19" s="17">
        <f t="shared" si="7"/>
        <v>0</v>
      </c>
      <c r="AE19" s="17">
        <f t="shared" si="7"/>
        <v>0</v>
      </c>
      <c r="AF19" s="13">
        <f t="shared" si="6"/>
        <v>-5000.445175</v>
      </c>
      <c r="AH19" s="15"/>
    </row>
    <row r="20" spans="1:32" s="15" customFormat="1" ht="13.5" customHeight="1">
      <c r="A20" s="140" t="s">
        <v>198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</row>
    <row r="21" spans="1:32" s="15" customFormat="1" ht="12.75">
      <c r="A21" s="38" t="s">
        <v>46</v>
      </c>
      <c r="B21" s="14">
        <f>B23+B24</f>
        <v>98.63891852054796</v>
      </c>
      <c r="C21" s="14">
        <f>C23+C24</f>
        <v>98.63891852054796</v>
      </c>
      <c r="D21" s="14">
        <f>D23+D24</f>
        <v>0</v>
      </c>
      <c r="E21" s="14">
        <f>E23+E24</f>
        <v>0</v>
      </c>
      <c r="F21" s="14">
        <f>F23+F24</f>
        <v>0</v>
      </c>
      <c r="G21" s="14">
        <f aca="true" t="shared" si="8" ref="G21:AE21">G23+G24</f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8"/>
        <v>0</v>
      </c>
      <c r="O21" s="14">
        <f t="shared" si="8"/>
        <v>0</v>
      </c>
      <c r="P21" s="14">
        <f t="shared" si="8"/>
        <v>0</v>
      </c>
      <c r="Q21" s="14">
        <f t="shared" si="8"/>
        <v>0</v>
      </c>
      <c r="R21" s="14">
        <f t="shared" si="8"/>
        <v>0</v>
      </c>
      <c r="S21" s="14">
        <f t="shared" si="8"/>
        <v>0</v>
      </c>
      <c r="T21" s="14">
        <f t="shared" si="8"/>
        <v>0</v>
      </c>
      <c r="U21" s="14">
        <f t="shared" si="8"/>
        <v>0</v>
      </c>
      <c r="V21" s="14">
        <f t="shared" si="8"/>
        <v>0</v>
      </c>
      <c r="W21" s="14">
        <f t="shared" si="8"/>
        <v>0</v>
      </c>
      <c r="X21" s="14">
        <f t="shared" si="8"/>
        <v>0</v>
      </c>
      <c r="Y21" s="14">
        <f t="shared" si="8"/>
        <v>0</v>
      </c>
      <c r="Z21" s="14">
        <f t="shared" si="8"/>
        <v>0</v>
      </c>
      <c r="AA21" s="14">
        <f t="shared" si="8"/>
        <v>0</v>
      </c>
      <c r="AB21" s="14">
        <f t="shared" si="8"/>
        <v>0</v>
      </c>
      <c r="AC21" s="14">
        <f t="shared" si="8"/>
        <v>0</v>
      </c>
      <c r="AD21" s="14">
        <f t="shared" si="8"/>
        <v>0</v>
      </c>
      <c r="AE21" s="14">
        <f t="shared" si="8"/>
        <v>0</v>
      </c>
      <c r="AF21" s="13">
        <f aca="true" t="shared" si="9" ref="AF21:AF29">AA21+V21+Q21+L21+G21+B21</f>
        <v>98.63891852054796</v>
      </c>
    </row>
    <row r="22" spans="1:34" s="27" customFormat="1" ht="12" customHeight="1">
      <c r="A22" s="39" t="s">
        <v>9</v>
      </c>
      <c r="B22" s="14">
        <f>SUM(D22:F22)</f>
        <v>0</v>
      </c>
      <c r="C22" s="26"/>
      <c r="D22" s="26"/>
      <c r="E22" s="26"/>
      <c r="F22" s="26"/>
      <c r="G22" s="14">
        <f aca="true" t="shared" si="10" ref="G22:G27">SUM(H22:K22)</f>
        <v>0</v>
      </c>
      <c r="H22" s="26"/>
      <c r="I22" s="26"/>
      <c r="J22" s="26"/>
      <c r="K22" s="26"/>
      <c r="L22" s="14">
        <f aca="true" t="shared" si="11" ref="L22:L27">SUM(M22:P22)</f>
        <v>0</v>
      </c>
      <c r="M22" s="26"/>
      <c r="N22" s="26"/>
      <c r="O22" s="26"/>
      <c r="P22" s="26"/>
      <c r="Q22" s="14">
        <f aca="true" t="shared" si="12" ref="Q22:Q27">SUM(R22:U22)</f>
        <v>0</v>
      </c>
      <c r="R22" s="26"/>
      <c r="S22" s="26"/>
      <c r="T22" s="26"/>
      <c r="U22" s="26"/>
      <c r="V22" s="14">
        <f aca="true" t="shared" si="13" ref="V22:V27">SUM(W22:Z22)</f>
        <v>0</v>
      </c>
      <c r="W22" s="26"/>
      <c r="X22" s="26"/>
      <c r="Y22" s="26"/>
      <c r="Z22" s="26"/>
      <c r="AA22" s="14">
        <f aca="true" t="shared" si="14" ref="AA22:AA27">SUM(AB22:AE22)</f>
        <v>0</v>
      </c>
      <c r="AB22" s="26"/>
      <c r="AC22" s="26"/>
      <c r="AD22" s="26"/>
      <c r="AE22" s="26"/>
      <c r="AF22" s="13">
        <f t="shared" si="9"/>
        <v>0</v>
      </c>
      <c r="AH22" s="15"/>
    </row>
    <row r="23" spans="1:34" s="27" customFormat="1" ht="12.75">
      <c r="A23" s="39" t="s">
        <v>196</v>
      </c>
      <c r="B23" s="14">
        <f>SUM(C23:F23)</f>
        <v>0</v>
      </c>
      <c r="C23" s="26">
        <f>IF(C18&gt;0,'таблицы в текст'!C271,0)</f>
        <v>0</v>
      </c>
      <c r="D23" s="26">
        <f>IF(D18&gt;0,'таблицы в текст'!D271,0)</f>
        <v>0</v>
      </c>
      <c r="E23" s="26">
        <f>IF(E18&gt;0,'таблицы в текст'!E271,0)</f>
        <v>0</v>
      </c>
      <c r="F23" s="26">
        <f>IF(F18&gt;0,'таблицы в текст'!F271,0)</f>
        <v>0</v>
      </c>
      <c r="G23" s="14">
        <f t="shared" si="10"/>
        <v>0</v>
      </c>
      <c r="H23" s="26">
        <f>IF(H18&gt;0,'таблицы в текст'!H271,0)</f>
        <v>0</v>
      </c>
      <c r="I23" s="26">
        <f>IF(I18&gt;0,'таблицы в текст'!I271,0)</f>
        <v>0</v>
      </c>
      <c r="J23" s="26">
        <f>IF(J18&gt;0,'таблицы в текст'!J271,0)</f>
        <v>0</v>
      </c>
      <c r="K23" s="26">
        <f>IF(K18&gt;0,'таблицы в текст'!K271,0)</f>
        <v>0</v>
      </c>
      <c r="L23" s="14">
        <f t="shared" si="11"/>
        <v>0</v>
      </c>
      <c r="M23" s="26">
        <f>IF(M18&gt;0,'таблицы в текст'!M271,0)</f>
        <v>0</v>
      </c>
      <c r="N23" s="26">
        <f>IF(N18&gt;0,'таблицы в текст'!N271,0)</f>
        <v>0</v>
      </c>
      <c r="O23" s="26">
        <f>IF(O18&gt;0,'таблицы в текст'!O271,0)</f>
        <v>0</v>
      </c>
      <c r="P23" s="26">
        <f>IF(P18&gt;0,'таблицы в текст'!P271,0)</f>
        <v>0</v>
      </c>
      <c r="Q23" s="14">
        <f t="shared" si="12"/>
        <v>0</v>
      </c>
      <c r="R23" s="26">
        <f>IF(R18&gt;0,'таблицы в текст'!R271,0)</f>
        <v>0</v>
      </c>
      <c r="S23" s="26">
        <f>IF(S18&gt;0,'таблицы в текст'!S271,0)</f>
        <v>0</v>
      </c>
      <c r="T23" s="26">
        <f>IF(T18&gt;0,'таблицы в текст'!T271,0)</f>
        <v>0</v>
      </c>
      <c r="U23" s="26">
        <f>IF(U18&gt;0,'таблицы в текст'!U271,0)</f>
        <v>0</v>
      </c>
      <c r="V23" s="14">
        <f t="shared" si="13"/>
        <v>0</v>
      </c>
      <c r="W23" s="26">
        <f>IF(W18&gt;0,'таблицы в текст'!W271,0)</f>
        <v>0</v>
      </c>
      <c r="X23" s="26">
        <f>IF(X18&gt;0,'таблицы в текст'!X271,0)</f>
        <v>0</v>
      </c>
      <c r="Y23" s="26">
        <f>IF(Y18&gt;0,'таблицы в текст'!Y271,0)</f>
        <v>0</v>
      </c>
      <c r="Z23" s="26">
        <f>IF(Z18&gt;0,'таблицы в текст'!Z271,0)</f>
        <v>0</v>
      </c>
      <c r="AA23" s="14">
        <f t="shared" si="14"/>
        <v>0</v>
      </c>
      <c r="AB23" s="26">
        <f>IF(AB18&gt;0,'таблицы в текст'!AB271,0)</f>
        <v>0</v>
      </c>
      <c r="AC23" s="26">
        <f>IF(AC18&gt;0,'таблицы в текст'!AC271,0)</f>
        <v>0</v>
      </c>
      <c r="AD23" s="26">
        <f>IF(AD18&gt;0,'таблицы в текст'!AD271,0)</f>
        <v>0</v>
      </c>
      <c r="AE23" s="26">
        <f>IF(AE18&gt;0,'таблицы в текст'!AE271,0)</f>
        <v>0</v>
      </c>
      <c r="AF23" s="13">
        <f t="shared" si="9"/>
        <v>0</v>
      </c>
      <c r="AH23" s="15"/>
    </row>
    <row r="24" spans="1:34" s="27" customFormat="1" ht="12.75">
      <c r="A24" s="39" t="s">
        <v>33</v>
      </c>
      <c r="B24" s="26">
        <f>SUM(C24:F24)</f>
        <v>98.63891852054796</v>
      </c>
      <c r="C24" s="26">
        <f>IF(C11=0,C26,0)</f>
        <v>98.63891852054796</v>
      </c>
      <c r="D24" s="26">
        <f>IF(D11=0,D26,0)</f>
        <v>0</v>
      </c>
      <c r="E24" s="26">
        <f>IF(E11=0,E26,0)</f>
        <v>0</v>
      </c>
      <c r="F24" s="26">
        <f>IF(F11=0,F26,0)</f>
        <v>0</v>
      </c>
      <c r="G24" s="26">
        <f t="shared" si="10"/>
        <v>0</v>
      </c>
      <c r="H24" s="26">
        <f>IF(H11=0,H26,0)</f>
        <v>0</v>
      </c>
      <c r="I24" s="26">
        <f>IF(I11=0,I26,0)</f>
        <v>0</v>
      </c>
      <c r="J24" s="26">
        <f>IF(J11=0,J26,0)</f>
        <v>0</v>
      </c>
      <c r="K24" s="26">
        <f>IF(K11=0,K26,0)</f>
        <v>0</v>
      </c>
      <c r="L24" s="26">
        <f t="shared" si="11"/>
        <v>0</v>
      </c>
      <c r="M24" s="26">
        <f>IF(M11=0,M26,0)</f>
        <v>0</v>
      </c>
      <c r="N24" s="26">
        <f>IF(N11=0,N26,0)</f>
        <v>0</v>
      </c>
      <c r="O24" s="26">
        <f>IF(O11=0,O26,0)</f>
        <v>0</v>
      </c>
      <c r="P24" s="26">
        <f>IF(P11=0,P26,0)</f>
        <v>0</v>
      </c>
      <c r="Q24" s="26">
        <f t="shared" si="12"/>
        <v>0</v>
      </c>
      <c r="R24" s="26">
        <f>IF(R11=0,R26,0)</f>
        <v>0</v>
      </c>
      <c r="S24" s="26">
        <f>IF(S11=0,S26,0)</f>
        <v>0</v>
      </c>
      <c r="T24" s="26">
        <f>IF(T11=0,T26,0)</f>
        <v>0</v>
      </c>
      <c r="U24" s="26">
        <f>IF(U11=0,U26,0)</f>
        <v>0</v>
      </c>
      <c r="V24" s="26">
        <f t="shared" si="13"/>
        <v>0</v>
      </c>
      <c r="W24" s="26">
        <f>IF(W11=0,W26,0)</f>
        <v>0</v>
      </c>
      <c r="X24" s="26">
        <f>IF(X11=0,X26,0)</f>
        <v>0</v>
      </c>
      <c r="Y24" s="26">
        <f>IF(Y11=0,Y26,0)</f>
        <v>0</v>
      </c>
      <c r="Z24" s="26">
        <f>IF(Z11=0,Z26,0)</f>
        <v>0</v>
      </c>
      <c r="AA24" s="26">
        <f t="shared" si="14"/>
        <v>0</v>
      </c>
      <c r="AB24" s="26">
        <f>IF(AB11=0,AB26,0)</f>
        <v>0</v>
      </c>
      <c r="AC24" s="26">
        <f>IF(AC11=0,AC26,0)</f>
        <v>0</v>
      </c>
      <c r="AD24" s="26">
        <f>IF(AD11=0,AD26,0)</f>
        <v>0</v>
      </c>
      <c r="AE24" s="26">
        <f>IF(AE11=0,AE26,0)</f>
        <v>0</v>
      </c>
      <c r="AF24" s="13">
        <f t="shared" si="9"/>
        <v>98.63891852054796</v>
      </c>
      <c r="AH24" s="15"/>
    </row>
    <row r="25" spans="1:32" s="15" customFormat="1" ht="15" customHeight="1">
      <c r="A25" s="38" t="s">
        <v>44</v>
      </c>
      <c r="B25" s="14">
        <f>SUM(C25:F25)</f>
        <v>5000.445175</v>
      </c>
      <c r="C25" s="14">
        <f>IF(C18&gt;0,'таблицы в текст'!$C$267,0)</f>
        <v>5000.445175</v>
      </c>
      <c r="D25" s="14">
        <f>IF(D18&gt;0,'таблицы в текст'!$C$267,0)</f>
        <v>0</v>
      </c>
      <c r="E25" s="14">
        <f>IF(E18&gt;0,'таблицы в текст'!$C$267,0)</f>
        <v>0</v>
      </c>
      <c r="F25" s="14">
        <f>IF(F18&gt;0,'таблицы в текст'!$C$267,0)</f>
        <v>0</v>
      </c>
      <c r="G25" s="26">
        <f t="shared" si="10"/>
        <v>0</v>
      </c>
      <c r="H25" s="14"/>
      <c r="I25" s="14"/>
      <c r="J25" s="14"/>
      <c r="K25" s="14"/>
      <c r="L25" s="26">
        <f t="shared" si="11"/>
        <v>0</v>
      </c>
      <c r="M25" s="14"/>
      <c r="N25" s="14"/>
      <c r="O25" s="14"/>
      <c r="P25" s="14"/>
      <c r="Q25" s="26">
        <f t="shared" si="12"/>
        <v>0</v>
      </c>
      <c r="R25" s="14"/>
      <c r="S25" s="14"/>
      <c r="T25" s="14"/>
      <c r="U25" s="14"/>
      <c r="V25" s="26">
        <f t="shared" si="13"/>
        <v>0</v>
      </c>
      <c r="W25" s="14"/>
      <c r="X25" s="14"/>
      <c r="Y25" s="14"/>
      <c r="Z25" s="14"/>
      <c r="AA25" s="26">
        <f t="shared" si="14"/>
        <v>0</v>
      </c>
      <c r="AB25" s="14"/>
      <c r="AC25" s="14"/>
      <c r="AD25" s="14"/>
      <c r="AE25" s="14"/>
      <c r="AF25" s="13">
        <f t="shared" si="9"/>
        <v>5000.445175</v>
      </c>
    </row>
    <row r="26" spans="1:32" s="15" customFormat="1" ht="17.25" customHeight="1">
      <c r="A26" s="14" t="s">
        <v>47</v>
      </c>
      <c r="B26" s="14">
        <f>SUM(C26:F26)</f>
        <v>387.0891938486976</v>
      </c>
      <c r="C26" s="14">
        <f>'таблицы в текст'!C297</f>
        <v>98.63891852054796</v>
      </c>
      <c r="D26" s="14">
        <f>'таблицы в текст'!D297</f>
        <v>99.7349065041096</v>
      </c>
      <c r="E26" s="14">
        <f>'таблицы в текст'!E297</f>
        <v>96.53691627113183</v>
      </c>
      <c r="F26" s="14">
        <f>'таблицы в текст'!F297</f>
        <v>92.17845255290827</v>
      </c>
      <c r="G26" s="14">
        <f t="shared" si="10"/>
        <v>320.3790178055422</v>
      </c>
      <c r="H26" s="14">
        <f>'таблицы в текст'!C304</f>
        <v>85.82488346791071</v>
      </c>
      <c r="I26" s="14">
        <f>'таблицы в текст'!D304</f>
        <v>82.25375047626726</v>
      </c>
      <c r="J26" s="14">
        <f>'таблицы в текст'!E304</f>
        <v>78.51116289235256</v>
      </c>
      <c r="K26" s="14">
        <f>'таблицы в текст'!F304</f>
        <v>73.7892209690117</v>
      </c>
      <c r="L26" s="14">
        <f t="shared" si="11"/>
        <v>243.68789303565416</v>
      </c>
      <c r="M26" s="14">
        <f>'таблицы в текст'!C311</f>
        <v>67.47267130197338</v>
      </c>
      <c r="N26" s="14">
        <f>'таблицы в текст'!D311</f>
        <v>63.33158619916739</v>
      </c>
      <c r="O26" s="14">
        <f>'таблицы в текст'!E311</f>
        <v>58.99950896577589</v>
      </c>
      <c r="P26" s="14">
        <f>'таблицы в текст'!F311</f>
        <v>53.884126568737486</v>
      </c>
      <c r="Q26" s="14">
        <f t="shared" si="12"/>
        <v>160.67495846884913</v>
      </c>
      <c r="R26" s="14">
        <f>'таблицы в текст'!C318</f>
        <v>47.607647907698514</v>
      </c>
      <c r="S26" s="14">
        <f>'таблицы в текст'!D318</f>
        <v>42.84962834928099</v>
      </c>
      <c r="T26" s="14">
        <f>'таблицы в текст'!E318</f>
        <v>37.879468601822104</v>
      </c>
      <c r="U26" s="14">
        <f>'таблицы в текст'!F318</f>
        <v>32.338213610047525</v>
      </c>
      <c r="V26" s="14">
        <f t="shared" si="13"/>
        <v>70.81909410293261</v>
      </c>
      <c r="W26" s="14">
        <f>'таблицы в текст'!C325</f>
        <v>26.1051090918319</v>
      </c>
      <c r="X26" s="14">
        <f>'таблицы в текст'!D325</f>
        <v>20.679299880447942</v>
      </c>
      <c r="Y26" s="14">
        <f>'таблицы в текст'!E325</f>
        <v>15.018459142881886</v>
      </c>
      <c r="Z26" s="14">
        <f>'таблицы в текст'!F325</f>
        <v>9.016225987770875</v>
      </c>
      <c r="AA26" s="14">
        <f t="shared" si="14"/>
        <v>0</v>
      </c>
      <c r="AB26" s="14">
        <f>'таблицы в текст'!C332</f>
        <v>0</v>
      </c>
      <c r="AC26" s="14">
        <f>'таблицы в текст'!D332</f>
        <v>0</v>
      </c>
      <c r="AD26" s="14">
        <f>'таблицы в текст'!E332</f>
        <v>0</v>
      </c>
      <c r="AE26" s="14">
        <f>'таблицы в текст'!F332</f>
        <v>0</v>
      </c>
      <c r="AF26" s="13">
        <f t="shared" si="9"/>
        <v>1182.6501572616758</v>
      </c>
    </row>
    <row r="27" spans="1:32" s="15" customFormat="1" ht="18.75" customHeight="1">
      <c r="A27" s="14" t="s">
        <v>48</v>
      </c>
      <c r="B27" s="14">
        <f>SUM(C27:F27)</f>
        <v>649.6003880850827</v>
      </c>
      <c r="C27" s="14">
        <f>'таблицы в текст'!C298</f>
        <v>0</v>
      </c>
      <c r="D27" s="14">
        <f>'таблицы в текст'!D298</f>
        <v>212.94864796696785</v>
      </c>
      <c r="E27" s="14">
        <f>'таблицы в текст'!E298</f>
        <v>216.14663819994564</v>
      </c>
      <c r="F27" s="14">
        <f>'таблицы в текст'!F298</f>
        <v>220.5051019181692</v>
      </c>
      <c r="G27" s="14">
        <f t="shared" si="10"/>
        <v>930.3552000787677</v>
      </c>
      <c r="H27" s="14">
        <f>'таблицы в текст'!C305</f>
        <v>226.85867100316676</v>
      </c>
      <c r="I27" s="14">
        <f>'таблицы в текст'!D305</f>
        <v>230.4298039948102</v>
      </c>
      <c r="J27" s="14">
        <f>'таблицы в текст'!E305</f>
        <v>234.1723915787249</v>
      </c>
      <c r="K27" s="14">
        <f>'таблицы в текст'!F305</f>
        <v>238.89433350206576</v>
      </c>
      <c r="L27" s="14">
        <f t="shared" si="11"/>
        <v>1007.0463248486557</v>
      </c>
      <c r="M27" s="14">
        <f>'таблицы в текст'!C312</f>
        <v>245.21088316910408</v>
      </c>
      <c r="N27" s="14">
        <f>'таблицы в текст'!D312</f>
        <v>249.35196827191007</v>
      </c>
      <c r="O27" s="14">
        <f>'таблицы в текст'!E312</f>
        <v>253.68404550530158</v>
      </c>
      <c r="P27" s="14">
        <f>'таблицы в текст'!F312</f>
        <v>258.79942790233997</v>
      </c>
      <c r="Q27" s="13">
        <f t="shared" si="12"/>
        <v>1090.0592594154607</v>
      </c>
      <c r="R27" s="14">
        <f>'таблицы в текст'!C319</f>
        <v>265.07590656337896</v>
      </c>
      <c r="S27" s="14">
        <f>'таблицы в текст'!D319</f>
        <v>269.8339261217965</v>
      </c>
      <c r="T27" s="14">
        <f>'таблицы в текст'!E319</f>
        <v>274.80408586925535</v>
      </c>
      <c r="U27" s="14">
        <f>'таблицы в текст'!F319</f>
        <v>280.3453408610299</v>
      </c>
      <c r="V27" s="14">
        <f t="shared" si="13"/>
        <v>1323.3840025720338</v>
      </c>
      <c r="W27" s="14">
        <f>'таблицы в текст'!C326</f>
        <v>286.5784453792456</v>
      </c>
      <c r="X27" s="14">
        <f>'таблицы в текст'!D326</f>
        <v>292.0042545906295</v>
      </c>
      <c r="Y27" s="14">
        <f>'таблицы в текст'!E326</f>
        <v>297.66509532819555</v>
      </c>
      <c r="Z27" s="14">
        <f>'таблицы в текст'!F326</f>
        <v>447.13620727396324</v>
      </c>
      <c r="AA27" s="13">
        <f t="shared" si="14"/>
        <v>0</v>
      </c>
      <c r="AB27" s="14">
        <f>'таблицы в текст'!C333</f>
        <v>0</v>
      </c>
      <c r="AC27" s="14">
        <f>'таблицы в текст'!D333</f>
        <v>0</v>
      </c>
      <c r="AD27" s="14">
        <f>'таблицы в текст'!E333</f>
        <v>0</v>
      </c>
      <c r="AE27" s="14">
        <f>'таблицы в текст'!F333</f>
        <v>0</v>
      </c>
      <c r="AF27" s="13">
        <f t="shared" si="9"/>
        <v>5000.445175000001</v>
      </c>
    </row>
    <row r="28" spans="1:34" s="16" customFormat="1" ht="19.5" customHeight="1">
      <c r="A28" s="17" t="s">
        <v>49</v>
      </c>
      <c r="B28" s="14">
        <f>B21+B25-B26-B27</f>
        <v>4062.3945115867677</v>
      </c>
      <c r="C28" s="14">
        <f aca="true" t="shared" si="15" ref="C28:AF28">C21+C25-C26-C27</f>
        <v>5000.445175</v>
      </c>
      <c r="D28" s="14">
        <f t="shared" si="15"/>
        <v>-312.68355447107746</v>
      </c>
      <c r="E28" s="14">
        <f t="shared" si="15"/>
        <v>-312.68355447107746</v>
      </c>
      <c r="F28" s="14">
        <f t="shared" si="15"/>
        <v>-312.68355447107746</v>
      </c>
      <c r="G28" s="14">
        <f t="shared" si="15"/>
        <v>-1250.7342178843098</v>
      </c>
      <c r="H28" s="14">
        <f t="shared" si="15"/>
        <v>-312.68355447107746</v>
      </c>
      <c r="I28" s="14">
        <f t="shared" si="15"/>
        <v>-312.68355447107746</v>
      </c>
      <c r="J28" s="14">
        <f t="shared" si="15"/>
        <v>-312.68355447107746</v>
      </c>
      <c r="K28" s="14">
        <f t="shared" si="15"/>
        <v>-312.68355447107746</v>
      </c>
      <c r="L28" s="14">
        <f t="shared" si="15"/>
        <v>-1250.7342178843098</v>
      </c>
      <c r="M28" s="14">
        <f t="shared" si="15"/>
        <v>-312.68355447107746</v>
      </c>
      <c r="N28" s="14">
        <f t="shared" si="15"/>
        <v>-312.68355447107746</v>
      </c>
      <c r="O28" s="14">
        <f t="shared" si="15"/>
        <v>-312.68355447107746</v>
      </c>
      <c r="P28" s="14">
        <f t="shared" si="15"/>
        <v>-312.68355447107746</v>
      </c>
      <c r="Q28" s="14">
        <f t="shared" si="15"/>
        <v>-1250.7342178843098</v>
      </c>
      <c r="R28" s="14">
        <f t="shared" si="15"/>
        <v>-312.68355447107746</v>
      </c>
      <c r="S28" s="14">
        <f t="shared" si="15"/>
        <v>-312.68355447107746</v>
      </c>
      <c r="T28" s="14">
        <f t="shared" si="15"/>
        <v>-312.68355447107746</v>
      </c>
      <c r="U28" s="14">
        <f t="shared" si="15"/>
        <v>-312.68355447107746</v>
      </c>
      <c r="V28" s="14">
        <f t="shared" si="15"/>
        <v>-1394.2030966749664</v>
      </c>
      <c r="W28" s="14">
        <f t="shared" si="15"/>
        <v>-312.68355447107746</v>
      </c>
      <c r="X28" s="14">
        <f t="shared" si="15"/>
        <v>-312.68355447107746</v>
      </c>
      <c r="Y28" s="14">
        <f t="shared" si="15"/>
        <v>-312.68355447107746</v>
      </c>
      <c r="Z28" s="14">
        <f t="shared" si="15"/>
        <v>-456.15243326173413</v>
      </c>
      <c r="AA28" s="14">
        <f t="shared" si="15"/>
        <v>0</v>
      </c>
      <c r="AB28" s="14">
        <f t="shared" si="15"/>
        <v>0</v>
      </c>
      <c r="AC28" s="14">
        <f t="shared" si="15"/>
        <v>0</v>
      </c>
      <c r="AD28" s="14">
        <f t="shared" si="15"/>
        <v>0</v>
      </c>
      <c r="AE28" s="14">
        <f t="shared" si="15"/>
        <v>0</v>
      </c>
      <c r="AF28" s="14">
        <f t="shared" si="15"/>
        <v>-1084.0112387411286</v>
      </c>
      <c r="AH28" s="15"/>
    </row>
    <row r="29" spans="1:34" s="40" customFormat="1" ht="29.25" customHeight="1">
      <c r="A29" s="22" t="s">
        <v>52</v>
      </c>
      <c r="B29" s="14">
        <f aca="true" t="shared" si="16" ref="B29:AE29">B28+B19+B16</f>
        <v>5474.283342301294</v>
      </c>
      <c r="C29" s="14">
        <f t="shared" si="16"/>
        <v>0</v>
      </c>
      <c r="D29" s="14">
        <f t="shared" si="16"/>
        <v>1825.1195955732373</v>
      </c>
      <c r="E29" s="14">
        <f t="shared" si="16"/>
        <v>1824.7997965499399</v>
      </c>
      <c r="F29" s="14">
        <f t="shared" si="16"/>
        <v>1824.3639501781172</v>
      </c>
      <c r="G29" s="14">
        <f t="shared" si="16"/>
        <v>7989.786786300641</v>
      </c>
      <c r="H29" s="14">
        <f t="shared" si="16"/>
        <v>1998.0197094768127</v>
      </c>
      <c r="I29" s="14">
        <f t="shared" si="16"/>
        <v>1997.6625961776485</v>
      </c>
      <c r="J29" s="14">
        <f t="shared" si="16"/>
        <v>1997.288337419257</v>
      </c>
      <c r="K29" s="14">
        <f t="shared" si="16"/>
        <v>1996.816143226923</v>
      </c>
      <c r="L29" s="14">
        <f t="shared" si="16"/>
        <v>8714.140361893871</v>
      </c>
      <c r="M29" s="14">
        <f t="shared" si="16"/>
        <v>2179.190160277774</v>
      </c>
      <c r="N29" s="14">
        <f t="shared" si="16"/>
        <v>2178.7760517674933</v>
      </c>
      <c r="O29" s="14">
        <f t="shared" si="16"/>
        <v>2178.3428440441544</v>
      </c>
      <c r="P29" s="14">
        <f t="shared" si="16"/>
        <v>2177.8313058044505</v>
      </c>
      <c r="Q29" s="14">
        <f t="shared" si="16"/>
        <v>9474.462890910923</v>
      </c>
      <c r="R29" s="14">
        <f t="shared" si="16"/>
        <v>2369.3596135567795</v>
      </c>
      <c r="S29" s="14">
        <f t="shared" si="16"/>
        <v>2368.8838116009374</v>
      </c>
      <c r="T29" s="14">
        <f t="shared" si="16"/>
        <v>2368.386795626192</v>
      </c>
      <c r="U29" s="14">
        <f t="shared" si="16"/>
        <v>2367.8326701270144</v>
      </c>
      <c r="V29" s="14">
        <f t="shared" si="16"/>
        <v>10129.063439281093</v>
      </c>
      <c r="W29" s="14">
        <f t="shared" si="16"/>
        <v>2568.973113074547</v>
      </c>
      <c r="X29" s="14">
        <f t="shared" si="16"/>
        <v>2568.430532153409</v>
      </c>
      <c r="Y29" s="14">
        <f t="shared" si="16"/>
        <v>2567.8644480796524</v>
      </c>
      <c r="Z29" s="14">
        <f t="shared" si="16"/>
        <v>2423.7953459734845</v>
      </c>
      <c r="AA29" s="14">
        <f t="shared" si="16"/>
        <v>0</v>
      </c>
      <c r="AB29" s="14">
        <f t="shared" si="16"/>
        <v>0</v>
      </c>
      <c r="AC29" s="14">
        <f t="shared" si="16"/>
        <v>0</v>
      </c>
      <c r="AD29" s="14">
        <f t="shared" si="16"/>
        <v>0</v>
      </c>
      <c r="AE29" s="14">
        <f t="shared" si="16"/>
        <v>0</v>
      </c>
      <c r="AF29" s="13">
        <f t="shared" si="9"/>
        <v>41781.73682068782</v>
      </c>
      <c r="AH29" s="15"/>
    </row>
    <row r="30" spans="1:34" s="40" customFormat="1" ht="17.25" customHeight="1">
      <c r="A30" s="22" t="s">
        <v>50</v>
      </c>
      <c r="B30" s="22">
        <v>0</v>
      </c>
      <c r="C30" s="22"/>
      <c r="D30" s="22"/>
      <c r="E30" s="22">
        <f>D31</f>
        <v>1825.1195955732373</v>
      </c>
      <c r="F30" s="22">
        <f>E31</f>
        <v>3649.919392123177</v>
      </c>
      <c r="G30" s="22">
        <f>B31</f>
        <v>5474.283342301294</v>
      </c>
      <c r="H30" s="22">
        <f>F31</f>
        <v>5474.283342301294</v>
      </c>
      <c r="I30" s="22">
        <f>H31</f>
        <v>7472.303051778107</v>
      </c>
      <c r="J30" s="22">
        <f>I31</f>
        <v>9469.965647955756</v>
      </c>
      <c r="K30" s="22">
        <f>J31</f>
        <v>11467.253985375013</v>
      </c>
      <c r="L30" s="22">
        <f>G31</f>
        <v>13464.070128601936</v>
      </c>
      <c r="M30" s="22">
        <f>K31</f>
        <v>13464.070128601936</v>
      </c>
      <c r="N30" s="22">
        <f>M31</f>
        <v>15643.26028887971</v>
      </c>
      <c r="O30" s="22">
        <f>N31</f>
        <v>17822.036340647202</v>
      </c>
      <c r="P30" s="22">
        <f>O31</f>
        <v>20000.379184691355</v>
      </c>
      <c r="Q30" s="22">
        <f>L31</f>
        <v>22178.210490495807</v>
      </c>
      <c r="R30" s="22">
        <f>P31</f>
        <v>22178.210490495807</v>
      </c>
      <c r="S30" s="22">
        <f>R31</f>
        <v>24547.570104052586</v>
      </c>
      <c r="T30" s="22">
        <f>S31</f>
        <v>26916.453915653525</v>
      </c>
      <c r="U30" s="22">
        <f>T31</f>
        <v>29284.840711279718</v>
      </c>
      <c r="V30" s="22">
        <f>Q31</f>
        <v>31652.67338140673</v>
      </c>
      <c r="W30" s="22">
        <f>U31</f>
        <v>31652.673381406734</v>
      </c>
      <c r="X30" s="22">
        <f>W31</f>
        <v>34221.64649448128</v>
      </c>
      <c r="Y30" s="22">
        <f>X31</f>
        <v>36790.077026634695</v>
      </c>
      <c r="Z30" s="22">
        <f>Y31</f>
        <v>39357.941474714346</v>
      </c>
      <c r="AA30" s="22">
        <f>V31</f>
        <v>41781.73682068782</v>
      </c>
      <c r="AB30" s="22">
        <f>Z31</f>
        <v>41781.73682068783</v>
      </c>
      <c r="AC30" s="22">
        <f>AB31</f>
        <v>41781.73682068783</v>
      </c>
      <c r="AD30" s="22">
        <f>AC31</f>
        <v>41781.73682068783</v>
      </c>
      <c r="AE30" s="22">
        <f>AD31</f>
        <v>41781.73682068783</v>
      </c>
      <c r="AF30" s="22">
        <f>C30</f>
        <v>0</v>
      </c>
      <c r="AH30" s="15"/>
    </row>
    <row r="31" spans="1:34" s="42" customFormat="1" ht="13.5" customHeight="1" thickBot="1">
      <c r="A31" s="141" t="s">
        <v>51</v>
      </c>
      <c r="B31" s="141">
        <f aca="true" t="shared" si="17" ref="B31:G31">B30+B29</f>
        <v>5474.283342301294</v>
      </c>
      <c r="C31" s="141">
        <f t="shared" si="17"/>
        <v>0</v>
      </c>
      <c r="D31" s="141">
        <f t="shared" si="17"/>
        <v>1825.1195955732373</v>
      </c>
      <c r="E31" s="141">
        <f>E30+E29</f>
        <v>3649.919392123177</v>
      </c>
      <c r="F31" s="141">
        <f t="shared" si="17"/>
        <v>5474.283342301294</v>
      </c>
      <c r="G31" s="141">
        <f t="shared" si="17"/>
        <v>13464.070128601936</v>
      </c>
      <c r="H31" s="141">
        <f>H30+H29</f>
        <v>7472.303051778107</v>
      </c>
      <c r="I31" s="141">
        <f aca="true" t="shared" si="18" ref="I31:S31">I30+I29</f>
        <v>9469.965647955756</v>
      </c>
      <c r="J31" s="141">
        <f t="shared" si="18"/>
        <v>11467.253985375013</v>
      </c>
      <c r="K31" s="141">
        <f t="shared" si="18"/>
        <v>13464.070128601936</v>
      </c>
      <c r="L31" s="141">
        <f t="shared" si="18"/>
        <v>22178.210490495807</v>
      </c>
      <c r="M31" s="141">
        <f t="shared" si="18"/>
        <v>15643.26028887971</v>
      </c>
      <c r="N31" s="141">
        <f t="shared" si="18"/>
        <v>17822.036340647202</v>
      </c>
      <c r="O31" s="141">
        <f t="shared" si="18"/>
        <v>20000.379184691355</v>
      </c>
      <c r="P31" s="141">
        <f t="shared" si="18"/>
        <v>22178.210490495807</v>
      </c>
      <c r="Q31" s="141">
        <f t="shared" si="18"/>
        <v>31652.67338140673</v>
      </c>
      <c r="R31" s="141">
        <f t="shared" si="18"/>
        <v>24547.570104052586</v>
      </c>
      <c r="S31" s="141">
        <f t="shared" si="18"/>
        <v>26916.453915653525</v>
      </c>
      <c r="T31" s="141">
        <f aca="true" t="shared" si="19" ref="T31:Z31">T30+T29</f>
        <v>29284.840711279718</v>
      </c>
      <c r="U31" s="141">
        <f t="shared" si="19"/>
        <v>31652.673381406734</v>
      </c>
      <c r="V31" s="141">
        <f t="shared" si="19"/>
        <v>41781.73682068782</v>
      </c>
      <c r="W31" s="141">
        <f t="shared" si="19"/>
        <v>34221.64649448128</v>
      </c>
      <c r="X31" s="141">
        <f t="shared" si="19"/>
        <v>36790.077026634695</v>
      </c>
      <c r="Y31" s="141">
        <f t="shared" si="19"/>
        <v>39357.941474714346</v>
      </c>
      <c r="Z31" s="141">
        <f t="shared" si="19"/>
        <v>41781.73682068783</v>
      </c>
      <c r="AA31" s="141">
        <f aca="true" t="shared" si="20" ref="AA31:AF31">AA30+AA29</f>
        <v>41781.73682068782</v>
      </c>
      <c r="AB31" s="141">
        <f t="shared" si="20"/>
        <v>41781.73682068783</v>
      </c>
      <c r="AC31" s="141">
        <f t="shared" si="20"/>
        <v>41781.73682068783</v>
      </c>
      <c r="AD31" s="141">
        <f t="shared" si="20"/>
        <v>41781.73682068783</v>
      </c>
      <c r="AE31" s="141">
        <f t="shared" si="20"/>
        <v>41781.73682068783</v>
      </c>
      <c r="AF31" s="141">
        <f t="shared" si="20"/>
        <v>41781.73682068782</v>
      </c>
      <c r="AH31" s="15"/>
    </row>
    <row r="32" spans="1:27" ht="13.5" customHeight="1" thickTop="1">
      <c r="A32" s="170"/>
      <c r="AA32" s="35"/>
    </row>
    <row r="33" spans="1:27" ht="13.5" customHeight="1">
      <c r="A33" s="171" t="s">
        <v>233</v>
      </c>
      <c r="B33" s="172"/>
      <c r="AA33" s="35"/>
    </row>
    <row r="34" ht="13.5" customHeight="1">
      <c r="AA34" s="35"/>
    </row>
    <row r="35" ht="13.5" customHeight="1">
      <c r="AA35" s="35"/>
    </row>
    <row r="36" ht="13.5" customHeight="1">
      <c r="AA36" s="35"/>
    </row>
    <row r="37" ht="13.5" customHeight="1">
      <c r="AA37" s="35"/>
    </row>
    <row r="38" ht="13.5" customHeight="1">
      <c r="AA38" s="35"/>
    </row>
    <row r="39" ht="13.5" customHeight="1">
      <c r="AA39" s="35"/>
    </row>
    <row r="40" ht="13.5" customHeight="1">
      <c r="AA40" s="35"/>
    </row>
    <row r="41" ht="13.5" customHeight="1">
      <c r="AA41" s="35"/>
    </row>
    <row r="42" ht="13.5" customHeight="1">
      <c r="AA42" s="35"/>
    </row>
    <row r="43" ht="13.5" customHeight="1">
      <c r="AA43" s="35"/>
    </row>
    <row r="44" ht="13.5" customHeight="1">
      <c r="AA44" s="35"/>
    </row>
    <row r="45" ht="13.5" customHeight="1">
      <c r="AA45" s="35"/>
    </row>
    <row r="46" ht="13.5" customHeight="1">
      <c r="AA46" s="35"/>
    </row>
    <row r="47" ht="13.5" customHeight="1">
      <c r="AA47" s="35"/>
    </row>
    <row r="48" ht="13.5" customHeight="1">
      <c r="AA48" s="35"/>
    </row>
    <row r="49" ht="13.5" customHeight="1">
      <c r="AA49" s="35"/>
    </row>
  </sheetData>
  <sheetProtection/>
  <mergeCells count="20">
    <mergeCell ref="C8:F8"/>
    <mergeCell ref="H8:K8"/>
    <mergeCell ref="R8:U8"/>
    <mergeCell ref="V7:Z7"/>
    <mergeCell ref="W8:Z8"/>
    <mergeCell ref="Q8:Q9"/>
    <mergeCell ref="L7:P7"/>
    <mergeCell ref="M8:P8"/>
    <mergeCell ref="Q7:U7"/>
    <mergeCell ref="V8:V9"/>
    <mergeCell ref="AA7:AE7"/>
    <mergeCell ref="AA8:AA9"/>
    <mergeCell ref="AB8:AE8"/>
    <mergeCell ref="AF7:AF9"/>
    <mergeCell ref="A7:A9"/>
    <mergeCell ref="G7:K7"/>
    <mergeCell ref="B7:F7"/>
    <mergeCell ref="L8:L9"/>
    <mergeCell ref="B8:B9"/>
    <mergeCell ref="G8:G9"/>
  </mergeCells>
  <printOptions horizontalCentered="1"/>
  <pageMargins left="0.15748031496062992" right="0.1968503937007874" top="0.3937007874015748" bottom="0.2362204724409449" header="0.7086614173228347" footer="0.6299212598425197"/>
  <pageSetup fitToWidth="2" fitToHeight="1" horizontalDpi="120" verticalDpi="12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Trasser</dc:creator>
  <cp:keywords/>
  <dc:description/>
  <cp:lastModifiedBy>Пользователь Windows</cp:lastModifiedBy>
  <cp:lastPrinted>2019-09-20T15:51:52Z</cp:lastPrinted>
  <dcterms:created xsi:type="dcterms:W3CDTF">2004-11-08T08:09:30Z</dcterms:created>
  <dcterms:modified xsi:type="dcterms:W3CDTF">2019-09-20T18:34:55Z</dcterms:modified>
  <cp:category/>
  <cp:version/>
  <cp:contentType/>
  <cp:contentStatus/>
</cp:coreProperties>
</file>