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3875" windowHeight="8100" tabRatio="750" activeTab="1"/>
  </bookViews>
  <sheets>
    <sheet name="таблицы в текст" sheetId="1" r:id="rId1"/>
    <sheet name="приложение 1" sheetId="2" r:id="rId2"/>
    <sheet name="приложение 2" sheetId="3" r:id="rId3"/>
  </sheets>
  <externalReferences>
    <externalReference r:id="rId6"/>
  </externalReferences>
  <definedNames>
    <definedName name="_01.янв.19">#REF!</definedName>
    <definedName name="month_in_per">'[1]Input'!$D$41</definedName>
    <definedName name="график">#REF!</definedName>
    <definedName name="Даты">#REF!</definedName>
    <definedName name="_xlnm.Print_Titles" localSheetId="1">'приложение 1'!$A:$A</definedName>
    <definedName name="_xlnm.Print_Titles" localSheetId="2">'приложение 2'!$A:$A,'приложение 2'!$7:$9</definedName>
    <definedName name="_xlnm.Print_Area" localSheetId="1">'приложение 1'!$A$1:$AF$33</definedName>
    <definedName name="_xlnm.Print_Area" localSheetId="2">'приложение 2'!$A$3:$AF$31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33" authorId="0">
      <text>
        <r>
          <rPr>
            <sz val="9"/>
            <rFont val="Arial"/>
            <family val="2"/>
          </rPr>
          <t xml:space="preserve">Вписываете год, в который планируете начать проект
</t>
        </r>
      </text>
    </comment>
    <comment ref="D35" authorId="0">
      <text>
        <r>
          <rPr>
            <sz val="9"/>
            <rFont val="Arial"/>
            <family val="2"/>
          </rPr>
          <t xml:space="preserve">Вписываете номер шага (квартала). Например, "1" соответствует первому кварталу года, в который планируете начать проект, а "4" - 1 кварталу года, следующего за тем, в котором планируется начать проект
</t>
        </r>
      </text>
    </comment>
    <comment ref="D38" authorId="0">
      <text>
        <r>
          <rPr>
            <sz val="9"/>
            <rFont val="Tahoma"/>
            <family val="2"/>
          </rPr>
          <t>Вписываете номер шага (квартала). Например, "2" соответствует второму кварталу года, в который планируете начать проект, а "4" - первому кварталу года, следующего за тем, в котором планируется начать проект</t>
        </r>
      </text>
    </comment>
    <comment ref="E121" authorId="0">
      <text>
        <r>
          <rPr>
            <sz val="9"/>
            <rFont val="Arial"/>
            <family val="2"/>
          </rPr>
          <t xml:space="preserve">Кд - поправочный коэффициент к стоимости доставки оборудовани. 
Ориентировочно Кд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- 1,1;
3. Центральная группа (Хангаласский, Намский, Горный муниципальные районы) - 1,3;
4. Арктическая группа (Абыйский, Аллаиховский, Анабарский, Булунский, Нижнеколымский, Оленекский муниципальные районы) - 1,4 </t>
        </r>
        <r>
          <rPr>
            <sz val="9"/>
            <rFont val="Tahoma"/>
            <family val="2"/>
          </rPr>
          <t xml:space="preserve">
Примечание: Вы можете указать точную стоимость доставки, тогда Кд следует принять равным 1.</t>
        </r>
      </text>
    </comment>
    <comment ref="D199" authorId="0">
      <text>
        <r>
          <rPr>
            <sz val="9"/>
            <rFont val="Tahoma"/>
            <family val="2"/>
          </rPr>
          <t>Нормы по видам тепловой энергии (ориентировочно):
1) центральное отопление - 0,5616 Гкал
2) электрические котлы - 671 кВт*ч
3) газовые котлы - 60 куб. м
4) уголь - 110 кг</t>
        </r>
      </text>
    </comment>
    <comment ref="E199" authorId="0">
      <text>
        <r>
          <rPr>
            <sz val="9"/>
            <rFont val="Arial"/>
            <family val="2"/>
          </rPr>
          <t>Коэффициент К1 - это поправка за климатическую зону.
К1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- 1,01;
3. Центральная группа (Хангаласский, Намский, Горный муниципальные районы) - 1,04;
4. Арктическая группа (Абыйский, Аллаиховский, Анабарский, Булунский, Нижнеколымский, Оленекский муниципальные районы) - 1,19</t>
        </r>
      </text>
    </comment>
    <comment ref="B242" authorId="0">
      <text>
        <r>
          <rPr>
            <sz val="9"/>
            <rFont val="Times New Roman"/>
            <family val="1"/>
          </rPr>
          <t>Рассчитать сумму налоговых отчислений можно на сайте ФНС России. Режим доступа: https://patent.nalog.ru/info/#
Для вновь зарегистрированных ИП установлены налоговые каникулы со ставкой ноль.</t>
        </r>
      </text>
    </comment>
    <comment ref="B239" authorId="0">
      <text>
        <r>
          <rPr>
            <sz val="9"/>
            <rFont val="Times New Roman"/>
            <family val="1"/>
          </rPr>
          <t>Рассчитывается в размере 6% от суммы плановой выручки, то есть:
Выручка (табл. 4-4) х 0,06</t>
        </r>
      </text>
    </comment>
    <comment ref="B240" authorId="0">
      <text>
        <r>
          <rPr>
            <sz val="9"/>
            <rFont val="Times New Roman"/>
            <family val="1"/>
          </rPr>
          <t>Рассчитывается в размере 10% от суммы плановой выручки за минусом плановых расходов, то есть:
Выручка (табл. 4-4) минус Расходы (табл. 4-13) х 0,10</t>
        </r>
      </text>
    </comment>
    <comment ref="B241" authorId="0">
      <text>
        <r>
          <rPr>
            <sz val="9"/>
            <rFont val="Times New Roman"/>
            <family val="1"/>
          </rPr>
          <t>Рассчитать сумму налоговых отчислений можно на сайте ФНС России. Режим доступа:
https://www.nalog.ru/rn14/taxation/taxes/envd/</t>
        </r>
      </text>
    </comment>
    <comment ref="B266" authorId="0">
      <text>
        <r>
          <rPr>
            <sz val="9"/>
            <rFont val="Times New Roman"/>
            <family val="1"/>
          </rPr>
          <t xml:space="preserve">Некапитализируемые расходы - это расходы не вошедшие в другие группы расходов, но требуемые для начала реализации проекта (например, расходы на обучение персонала, расходы на маркетинг, авансовая оплата за аренду </t>
        </r>
        <r>
          <rPr>
            <sz val="9"/>
            <rFont val="Tahoma"/>
            <family val="2"/>
          </rPr>
          <t xml:space="preserve"> </t>
        </r>
      </text>
    </comment>
    <comment ref="H14" authorId="0">
      <text>
        <r>
          <rPr>
            <sz val="9"/>
            <rFont val="Tahoma"/>
            <family val="2"/>
          </rPr>
          <t>Ячейка с примечанием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<sst xmlns="http://schemas.openxmlformats.org/spreadsheetml/2006/main" count="538" uniqueCount="368">
  <si>
    <t>Индекс доходности инвестиций</t>
  </si>
  <si>
    <t>Внутренняя норма доходности</t>
  </si>
  <si>
    <t>Показатель</t>
  </si>
  <si>
    <t>Ед. изм.</t>
  </si>
  <si>
    <t>2 кв.</t>
  </si>
  <si>
    <t>Показатели</t>
  </si>
  <si>
    <t>всего</t>
  </si>
  <si>
    <t>по кварталам</t>
  </si>
  <si>
    <t>тыс. руб.</t>
  </si>
  <si>
    <t>в том числе:</t>
  </si>
  <si>
    <t>ВСЕГО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</si>
  <si>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</si>
  <si>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</si>
  <si>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</si>
  <si>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</si>
  <si>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</si>
  <si>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</si>
  <si>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</si>
  <si>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</si>
  <si>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</si>
  <si>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</si>
  <si>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</si>
  <si>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</si>
  <si>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</si>
  <si>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</si>
  <si>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1 кв</t>
  </si>
  <si>
    <t>3 кв</t>
  </si>
  <si>
    <t>4 кв</t>
  </si>
  <si>
    <t>Выплаты всего</t>
  </si>
  <si>
    <t>Возврат основного долга</t>
  </si>
  <si>
    <t>-</t>
  </si>
  <si>
    <t>Материальные расходы</t>
  </si>
  <si>
    <t>Амортизация</t>
  </si>
  <si>
    <t>на уплату процентов по займу в инвест.период</t>
  </si>
  <si>
    <t>%</t>
  </si>
  <si>
    <t>лет</t>
  </si>
  <si>
    <t>х</t>
  </si>
  <si>
    <t>4 кв.</t>
  </si>
  <si>
    <t>1 кв.</t>
  </si>
  <si>
    <t>3 кв.</t>
  </si>
  <si>
    <t xml:space="preserve">Проценты на привлеченные долговые обязательства </t>
  </si>
  <si>
    <t xml:space="preserve">Прибыль до налогообложения </t>
  </si>
  <si>
    <t xml:space="preserve">Чистая прибыль - NP </t>
  </si>
  <si>
    <t xml:space="preserve">Поток от операционной деятельности </t>
  </si>
  <si>
    <t>Привлечение заемных средств</t>
  </si>
  <si>
    <t>Поток от инвестиционной деятельности</t>
  </si>
  <si>
    <t xml:space="preserve">Собственный капитал </t>
  </si>
  <si>
    <t>Расходы по выплате процентов</t>
  </si>
  <si>
    <t xml:space="preserve">Расходы по погашению долговых обязательств </t>
  </si>
  <si>
    <t xml:space="preserve">Поток от финансовой деятельности </t>
  </si>
  <si>
    <t>Кэш-фло на начало периода</t>
  </si>
  <si>
    <t>Кэш-фло на конец периода</t>
  </si>
  <si>
    <t xml:space="preserve">Чистые денежные потоки от всех видов деятельности </t>
  </si>
  <si>
    <t>Данные  для текстовой части бизнес-плана</t>
  </si>
  <si>
    <t>ПРАВИЛА ЗАПОЛНЕНИЯ ТАБЛИЦ</t>
  </si>
  <si>
    <t>2. Комментарии к заполнению находятся в примечаниях к ячейкам</t>
  </si>
  <si>
    <t>Для того, чтобы увидеть примечание, надо встать на ячейку с красным треугольником в углу</t>
  </si>
  <si>
    <t>Год начала проекта</t>
  </si>
  <si>
    <t>(вписываете год)</t>
  </si>
  <si>
    <t>Шаг начала проекта</t>
  </si>
  <si>
    <t>УСЛОВИЯ И ДОПУЩЕНИЯ, ПРИНЯТЫЕ В РАСЧЕТАХ</t>
  </si>
  <si>
    <t>квартал</t>
  </si>
  <si>
    <t>Период расчетов</t>
  </si>
  <si>
    <t>5 лет</t>
  </si>
  <si>
    <t>Шаг расчетов</t>
  </si>
  <si>
    <t>Количество шагов</t>
  </si>
  <si>
    <t>Шаг начала эксплуатационной стадии</t>
  </si>
  <si>
    <t>(вписывает квартал, в котором планируется финансирование проекта)</t>
  </si>
  <si>
    <t>(вписывает квартал, в котором планируете начать производство и реализацию)</t>
  </si>
  <si>
    <t>ВРЕМЕННЫЕ ПРЕДПОСЫЛКИ</t>
  </si>
  <si>
    <t>На данном листе находятся таблицы, которые после заполнения вы вставите в описательную часть бизнес-плана.</t>
  </si>
  <si>
    <t>КАДРОВОЕ ОБЕСПЕЧЕНИЕ ПРОЕКТА</t>
  </si>
  <si>
    <t>Должность</t>
  </si>
  <si>
    <t>Оплата труда в месяц, руб.</t>
  </si>
  <si>
    <t>Число работников, ед.</t>
  </si>
  <si>
    <t>Руководитель</t>
  </si>
  <si>
    <t>Пекарь-технолог</t>
  </si>
  <si>
    <t>Помощник пекаря</t>
  </si>
  <si>
    <t>Разнорабочий</t>
  </si>
  <si>
    <t>Продавец торгового зала (менеджер по сбыту)</t>
  </si>
  <si>
    <t>Итого</t>
  </si>
  <si>
    <t>1. Не заполняются только ячейки, выделенные зеленым цветом</t>
  </si>
  <si>
    <t>Заполните таблицу:</t>
  </si>
  <si>
    <t>УДЕЛЬНЫЙ РАСХОД СЫРЬЯ</t>
  </si>
  <si>
    <t>Наименование сырья (материала)</t>
  </si>
  <si>
    <t>Расход материала</t>
  </si>
  <si>
    <t>Цена, руб./кг</t>
  </si>
  <si>
    <t>Стоимость, руб.</t>
  </si>
  <si>
    <t>Мука пшеничная (ржаная)</t>
  </si>
  <si>
    <t>кг</t>
  </si>
  <si>
    <t>Дрожжи прессованные</t>
  </si>
  <si>
    <t>Соль</t>
  </si>
  <si>
    <t>Масло растительное</t>
  </si>
  <si>
    <t>х </t>
  </si>
  <si>
    <t> Х</t>
  </si>
  <si>
    <t>Мука пшеничная в/с</t>
  </si>
  <si>
    <t>Сахар</t>
  </si>
  <si>
    <t>Маргарин</t>
  </si>
  <si>
    <t>Улучшитель «Экстра»</t>
  </si>
  <si>
    <t>Ингредиенты</t>
  </si>
  <si>
    <t> х</t>
  </si>
  <si>
    <t>Вы можете менять значения в любых ячейках, которые не выделены цветом</t>
  </si>
  <si>
    <t>4-1. Удельный расход сырья на единицу продукции</t>
  </si>
  <si>
    <t>Хлеб формовой</t>
  </si>
  <si>
    <t xml:space="preserve">Батон </t>
  </si>
  <si>
    <t>Хлебобулочные изделия</t>
  </si>
  <si>
    <t xml:space="preserve">4-2. Перечень приобретаемого технологического оборудования </t>
  </si>
  <si>
    <t>Наименование оборудования</t>
  </si>
  <si>
    <t>Коли-чество</t>
  </si>
  <si>
    <t>Цена, руб. за ед.</t>
  </si>
  <si>
    <t>Основной комплект оборудования</t>
  </si>
  <si>
    <t>Печь хлебопекарная  / печь ротационная / пекарский шкаф</t>
  </si>
  <si>
    <t xml:space="preserve">Мукопросеиватель </t>
  </si>
  <si>
    <t xml:space="preserve">Тестомес </t>
  </si>
  <si>
    <t>Тестоделитель (полуавтоматический)</t>
  </si>
  <si>
    <t>Тестораскаточная машина (на массу заготовки 50-1200 гр)</t>
  </si>
  <si>
    <t>Противень из черного металла</t>
  </si>
  <si>
    <t xml:space="preserve">Формы хлебные </t>
  </si>
  <si>
    <t xml:space="preserve">Формы для выпечки </t>
  </si>
  <si>
    <t>Хлебная форма с ручками</t>
  </si>
  <si>
    <t>Дополнительный комплект оборудования</t>
  </si>
  <si>
    <t>Шкаф расстойный</t>
  </si>
  <si>
    <t xml:space="preserve">Зонт вентиляционный </t>
  </si>
  <si>
    <t>Ванна моечная односекционная</t>
  </si>
  <si>
    <t>Ванна моечная двухсекционная</t>
  </si>
  <si>
    <t xml:space="preserve">Стол кондитерский </t>
  </si>
  <si>
    <t>Стол производственный пристенный</t>
  </si>
  <si>
    <t xml:space="preserve">Стеллаж </t>
  </si>
  <si>
    <t>Загрузочный стеллаж для печи</t>
  </si>
  <si>
    <t>Стенд к тестозакаточной машине</t>
  </si>
  <si>
    <t>Весы настольные</t>
  </si>
  <si>
    <t>Весы напольные</t>
  </si>
  <si>
    <t>Ларь морозильный</t>
  </si>
  <si>
    <t xml:space="preserve">Холодильник </t>
  </si>
  <si>
    <t>Противни, лотки для хлеба</t>
  </si>
  <si>
    <t>Телега вагонетная, телега для посуды</t>
  </si>
  <si>
    <t xml:space="preserve">Уф лампы, стерилизаторы </t>
  </si>
  <si>
    <t>Полка настенная</t>
  </si>
  <si>
    <t>Кухонный инвентарь (посуда и т.д.)</t>
  </si>
  <si>
    <t xml:space="preserve">Сковорода с крышкой </t>
  </si>
  <si>
    <t>Стерилизатор яиц</t>
  </si>
  <si>
    <t xml:space="preserve">Стеллаж сеточный </t>
  </si>
  <si>
    <t>Жироуловитель</t>
  </si>
  <si>
    <t>ИТОГО:</t>
  </si>
  <si>
    <t>Доставка оборудования:</t>
  </si>
  <si>
    <t>Поправочный коэффициент по доставке (Кд):</t>
  </si>
  <si>
    <t>Сумма, тыс. руб.</t>
  </si>
  <si>
    <t>Доставка оборудования с учетом Кд:</t>
  </si>
  <si>
    <t>ТЕХНОЛОГИЧЕСКОЕ ОБОРУДОВАНИЕ ПРОЕКТА</t>
  </si>
  <si>
    <t>ПРОИЗВОДСТВЕННЫЕ ПОКАЗАТЕЛИ</t>
  </si>
  <si>
    <t>4-3. Календарный годовой план работы хлебопекарни</t>
  </si>
  <si>
    <t xml:space="preserve">Количество календарных дней </t>
  </si>
  <si>
    <t>Количество рабочих дней в периоде</t>
  </si>
  <si>
    <t xml:space="preserve">4-4. Производственно-сбытовой план </t>
  </si>
  <si>
    <t>Продукция</t>
  </si>
  <si>
    <t>Цена за единицу, руб.</t>
  </si>
  <si>
    <t>Объем производства и сбыта, шт.</t>
  </si>
  <si>
    <t>Выручка, тыс. руб.</t>
  </si>
  <si>
    <t>в день</t>
  </si>
  <si>
    <t>в год</t>
  </si>
  <si>
    <t xml:space="preserve">Хлеб формовой </t>
  </si>
  <si>
    <t xml:space="preserve">Хлебобулочные изделия </t>
  </si>
  <si>
    <t>ТЕКУЩИЕ РАСХОДЫ</t>
  </si>
  <si>
    <t>Удельный расход, руб. на ед.</t>
  </si>
  <si>
    <t>Материальные расходы, тыс. руб.</t>
  </si>
  <si>
    <t>Фонд оплаты труда, тыс. руб.</t>
  </si>
  <si>
    <t>ФОТ с отчислениями, тыс. руб.</t>
  </si>
  <si>
    <t>Значение показателя</t>
  </si>
  <si>
    <t>Норма по хлебопечению, кВт на кг</t>
  </si>
  <si>
    <t>План производства, кг в день</t>
  </si>
  <si>
    <t>Фонд рабочего времени, дней</t>
  </si>
  <si>
    <t>Расход в год, кВт*ч (maх)</t>
  </si>
  <si>
    <t>Тариф, руб. за кВт</t>
  </si>
  <si>
    <t>Расход в год, тыс. руб.</t>
  </si>
  <si>
    <t>Входные данные (условия и допущения)</t>
  </si>
  <si>
    <t>Продолжительность смены, час</t>
  </si>
  <si>
    <t>Численность рабочих, чел.</t>
  </si>
  <si>
    <t>Тариф на воду, руб. за куб. м</t>
  </si>
  <si>
    <t>Тариф на сток воды, руб. за куб. м</t>
  </si>
  <si>
    <t>Вид работ</t>
  </si>
  <si>
    <t>Норма потребления, куб. м</t>
  </si>
  <si>
    <t>Расход в год, куб. м</t>
  </si>
  <si>
    <t>Расходы в год, тыс. руб.</t>
  </si>
  <si>
    <t>вода</t>
  </si>
  <si>
    <t>сточные воды</t>
  </si>
  <si>
    <t xml:space="preserve">сточные воды </t>
  </si>
  <si>
    <t>Приготовление теста</t>
  </si>
  <si>
    <t>0,6 на тн</t>
  </si>
  <si>
    <t>0 на тн</t>
  </si>
  <si>
    <t>Увлажнение пекарных камер</t>
  </si>
  <si>
    <t>0,012 в час.</t>
  </si>
  <si>
    <t>0,002 в час.</t>
  </si>
  <si>
    <t>Мойка оборудования, форм</t>
  </si>
  <si>
    <t>0,08 в час.</t>
  </si>
  <si>
    <t>Мойка хлебных лотков</t>
  </si>
  <si>
    <t>0,4 в час.</t>
  </si>
  <si>
    <t>Уборка пола</t>
  </si>
  <si>
    <t>0,0005 на кв. м в дн.</t>
  </si>
  <si>
    <t>0,00025 на кв. м в дн.</t>
  </si>
  <si>
    <t>Нужды персонала</t>
  </si>
  <si>
    <t>0,0025 в дн.</t>
  </si>
  <si>
    <t>Система отопления (вид ресурса)</t>
  </si>
  <si>
    <t>Тепловая нагрузка, ед. на кв. м в год</t>
  </si>
  <si>
    <t>Коэф-фициент К1</t>
  </si>
  <si>
    <t>Площадь, кв. м</t>
  </si>
  <si>
    <t>Объем потреб-ления, ед. в год</t>
  </si>
  <si>
    <t>Тариф, руб. за ед.</t>
  </si>
  <si>
    <t>Автономное: газ</t>
  </si>
  <si>
    <t>куб. м</t>
  </si>
  <si>
    <t>* К1 – поправочный коэффициент за климатическую зону</t>
  </si>
  <si>
    <t>Статья расходов</t>
  </si>
  <si>
    <t>Тариф, руб. за кв. м</t>
  </si>
  <si>
    <t>Аренда</t>
  </si>
  <si>
    <t>Актив</t>
  </si>
  <si>
    <t>Срок службы, лет</t>
  </si>
  <si>
    <t>Норма амортизации</t>
  </si>
  <si>
    <t>Балансовая стоимость, тыс. руб.</t>
  </si>
  <si>
    <t>Амортизация в год, тыс. руб.</t>
  </si>
  <si>
    <t>Здание</t>
  </si>
  <si>
    <t>Оборудование</t>
  </si>
  <si>
    <t>Транспорт</t>
  </si>
  <si>
    <t>Сумма расходов в год, тыс. руб.</t>
  </si>
  <si>
    <t>Расходы на услуги связи</t>
  </si>
  <si>
    <t>Расходы на маркетинг (контентная реклама, печатная продукция)</t>
  </si>
  <si>
    <t>Расходы на охрану</t>
  </si>
  <si>
    <t>Структура</t>
  </si>
  <si>
    <t>Расходы на ФОТ</t>
  </si>
  <si>
    <t>Расходы на электроэнергию</t>
  </si>
  <si>
    <t>Расходы на воду</t>
  </si>
  <si>
    <t>Расходы на отопление</t>
  </si>
  <si>
    <t>Расходы на аренду</t>
  </si>
  <si>
    <t>Прочие расходы</t>
  </si>
  <si>
    <t>НАЛОГИ</t>
  </si>
  <si>
    <t>5-1. Годовая сумма налоговых отчислений</t>
  </si>
  <si>
    <t>Вид</t>
  </si>
  <si>
    <t>Патент</t>
  </si>
  <si>
    <t>УСН (доходы)</t>
  </si>
  <si>
    <t>ЕНВД</t>
  </si>
  <si>
    <t>УСН (расходы)</t>
  </si>
  <si>
    <t>Структура, в процентах к итогу</t>
  </si>
  <si>
    <t>Нематериальные активы</t>
  </si>
  <si>
    <t>Основные фонды</t>
  </si>
  <si>
    <t>Оборотные активы (сырье)</t>
  </si>
  <si>
    <t>Некапитализируемые расходы</t>
  </si>
  <si>
    <t>5-2. Источники финансирования проекта</t>
  </si>
  <si>
    <t>Источник финансирования</t>
  </si>
  <si>
    <t>Заемное финансирование в Фонде РП РС(Я)</t>
  </si>
  <si>
    <t>Лизинг в Региональной лизинговой компании</t>
  </si>
  <si>
    <t>Банковское (или иное) кредитование</t>
  </si>
  <si>
    <t>Собственные средства</t>
  </si>
  <si>
    <t>5-3. Инвестиции в проект</t>
  </si>
  <si>
    <t>ИСТОЧНИКИ ФИНАНСИРОВАНИЯ И ИНВЕСТИЦИИ В ПРОЕКТ</t>
  </si>
  <si>
    <t>5-4. График гашения и обслуживания долговых обязательств</t>
  </si>
  <si>
    <t>Остаточная стоимость</t>
  </si>
  <si>
    <t>Срок, лет</t>
  </si>
  <si>
    <t>Процентная ставка, %</t>
  </si>
  <si>
    <t>Условия привлечения средств:</t>
  </si>
  <si>
    <t>Отсрочка по выплате долга, мес.</t>
  </si>
  <si>
    <t>Источники собственного капитала</t>
  </si>
  <si>
    <t>Иное: гранты и т.п. (указать)</t>
  </si>
  <si>
    <t>Приложение 1</t>
  </si>
  <si>
    <t xml:space="preserve">3. Просмотрите лист до конца, чтобы заполнить все таблицы </t>
  </si>
  <si>
    <t>НАЗВАНИЕ ПРОЕКТА:</t>
  </si>
  <si>
    <t>Бизнес-план создания хлебопекарни в п. ХХХ ХХХ района Республики Саха (Якутия)</t>
  </si>
  <si>
    <t>ПЛАН ПО ПРИБЫЛИ, тыс. руб.</t>
  </si>
  <si>
    <t xml:space="preserve">Выручка </t>
  </si>
  <si>
    <t>2 год</t>
  </si>
  <si>
    <t>3 год</t>
  </si>
  <si>
    <t>4 год</t>
  </si>
  <si>
    <t>5 год</t>
  </si>
  <si>
    <t>Плановые темпы роста объемов производства</t>
  </si>
  <si>
    <t>Переменные расходы</t>
  </si>
  <si>
    <t>Сезонность по кварталам календарного года</t>
  </si>
  <si>
    <t>Валовая прибыль</t>
  </si>
  <si>
    <t>Постоянные расходы</t>
  </si>
  <si>
    <t>Оплата процентов</t>
  </si>
  <si>
    <t>2 кв</t>
  </si>
  <si>
    <t>Количество дней в периоде</t>
  </si>
  <si>
    <t>Оплата процентов всего</t>
  </si>
  <si>
    <t>Возврат основного долга всего</t>
  </si>
  <si>
    <t>Операционная прибыль</t>
  </si>
  <si>
    <t>Налоги в составе себестоимости: ЕНВД, патент</t>
  </si>
  <si>
    <t>Индекс-дефлятор</t>
  </si>
  <si>
    <t>Индекс потребительских цен на товары и услуги</t>
  </si>
  <si>
    <t>Индекс-дефлятор: реальная заработная плата</t>
  </si>
  <si>
    <t>Индекс-дефлятор: газ, вода, электроэнергия</t>
  </si>
  <si>
    <t xml:space="preserve">Налог по УСН </t>
  </si>
  <si>
    <t xml:space="preserve">база: доходы </t>
  </si>
  <si>
    <t>база: доходы минус расходы</t>
  </si>
  <si>
    <t>Приложение 2</t>
  </si>
  <si>
    <t>ПЛАН ДВИЖЕНИЯ ДЕНЕГ, тыс. руб.</t>
  </si>
  <si>
    <t>ОПЕРАЦИОННАЯ ДЕЯТЕЛЬНОСТЬ</t>
  </si>
  <si>
    <t>Текущие расходы проекта</t>
  </si>
  <si>
    <t>Налоги</t>
  </si>
  <si>
    <t>в том числе: амортизация</t>
  </si>
  <si>
    <t>Инвестиции в проект</t>
  </si>
  <si>
    <t>на финансирование проекта</t>
  </si>
  <si>
    <t>ИНВЕСТИЦИАОННАЯ ДЕЯТЕЛЬНОСТЬ</t>
  </si>
  <si>
    <t>ФИНАНСОВАЯ ДЕЯТЕЛЬНОСТЬ</t>
  </si>
  <si>
    <t>ЭКОНОМИЧЕСКАЯ ОЦЕНКА</t>
  </si>
  <si>
    <t>(заполните условия привлечения средств)</t>
  </si>
  <si>
    <t>Частично заполните таблицы:</t>
  </si>
  <si>
    <t>Частично или полностью заполните таблицы:</t>
  </si>
  <si>
    <t>Частично заполните таблицу:</t>
  </si>
  <si>
    <t>Заполните цветные ячейки:</t>
  </si>
  <si>
    <t>1.</t>
  </si>
  <si>
    <t>2.</t>
  </si>
  <si>
    <t>3.</t>
  </si>
  <si>
    <t>Точка безубыточности (критический объем выручки)</t>
  </si>
  <si>
    <t>Запас финансовой прочности</t>
  </si>
  <si>
    <t>Запас финансовой прочности, в процентах</t>
  </si>
  <si>
    <t>Чистый денежный доход (NPV)</t>
  </si>
  <si>
    <t>Значение</t>
  </si>
  <si>
    <t>Валюта расчета</t>
  </si>
  <si>
    <t>(все таблицы заполняются в тыс. руб., если не указано иное)</t>
  </si>
  <si>
    <t>Критерий приемлемости</t>
  </si>
  <si>
    <t>&gt;0</t>
  </si>
  <si>
    <t>&gt;1</t>
  </si>
  <si>
    <t>&gt; ставки по кредиту</t>
  </si>
  <si>
    <t>мес</t>
  </si>
  <si>
    <t>&lt; срока проекта</t>
  </si>
  <si>
    <t>Дисконтированный денежный поток</t>
  </si>
  <si>
    <t>Накопленное сальдо</t>
  </si>
  <si>
    <t>Период окупаемости (от начала эксплуатации проекта)</t>
  </si>
  <si>
    <t>Не запоняйте таблицы (заполняются автоматически)</t>
  </si>
  <si>
    <t>Сценарий прогноза</t>
  </si>
  <si>
    <t>(в текущих ценах (ставите 1) или в прогнозных ценах (ставите 2)</t>
  </si>
  <si>
    <t>Индекс-дефлятор, принятый в расчетах</t>
  </si>
  <si>
    <t>Проверка</t>
  </si>
  <si>
    <t>4.</t>
  </si>
  <si>
    <t>5.</t>
  </si>
  <si>
    <t>6.</t>
  </si>
  <si>
    <t>7.</t>
  </si>
  <si>
    <t>8.</t>
  </si>
  <si>
    <t>Кэш-фло на конец периода не должно быть &lt;0</t>
  </si>
  <si>
    <t>Бухгалтер (аутсорсинг)</t>
  </si>
  <si>
    <t>Общехозяйственные и прочие непредвиденные (0,5% от выручки)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</si>
  <si>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</si>
  <si>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</si>
  <si>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</si>
  <si>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</si>
  <si>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</si>
  <si>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</si>
  <si>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</si>
  <si>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</si>
  <si>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</si>
  <si>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</si>
  <si>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</si>
  <si>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</si>
  <si>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</si>
  <si>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</si>
  <si>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Первая цифра номера таблицы означает номер раздела в бизнес-плане</t>
  </si>
  <si>
    <t>Всего 22 таблицы, находящиеся на данном листе</t>
  </si>
  <si>
    <t>Здание (ремонт)</t>
  </si>
  <si>
    <t>Источники долгового финансирования</t>
  </si>
  <si>
    <t>3-2. Штатное расписание персонала проекта</t>
  </si>
  <si>
    <t>в процентах к итогу</t>
  </si>
  <si>
    <t>4-5. Расчет материальных расходов</t>
  </si>
  <si>
    <t xml:space="preserve">4-6. Расчет расходов на фонд оплаты труда </t>
  </si>
  <si>
    <t>4-7. Расчет расходов на потребляемую электроэнергию</t>
  </si>
  <si>
    <t>4-8. Расчет расходов на питьевую воду и сточные воды</t>
  </si>
  <si>
    <t>4-9. Расчет расходов на тепловую энергию</t>
  </si>
  <si>
    <t>4-10. Расчет расходов на аренду</t>
  </si>
  <si>
    <t>4-11. Расчет амортизационных отчислений</t>
  </si>
  <si>
    <t>4-12. Расчет прочих расходов</t>
  </si>
  <si>
    <t>4-13. Структура себестоимости</t>
  </si>
  <si>
    <t>5-6. Расчет показателей эффективности проекта</t>
  </si>
  <si>
    <t>5-5. Расчет точки безубыточности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</si>
</sst>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0"/>
    <numFmt numFmtId="176" formatCode="#,##0.00_ ;[Red]\-#,##0.00\ "/>
    <numFmt numFmtId="177" formatCode="#,##0.0"/>
    <numFmt numFmtId="178" formatCode="#,##0.000"/>
    <numFmt numFmtId="179" formatCode="#,##0.000_ ;[Red]\-#,##0.000\ "/>
    <numFmt numFmtId="180" formatCode="0.000"/>
    <numFmt numFmtId="181" formatCode="_-* #,##0.0_р_._-;\-* #,##0.0_р_._-;_-* &quot;-&quot;??_р_._-;_-@_-"/>
    <numFmt numFmtId="182" formatCode="_-* #,##0_р_._-;\-* #,##0_р_._-;_-* &quot;-&quot;??_р_._-;_-@_-"/>
    <numFmt numFmtId="183" formatCode="#,##0.00000"/>
    <numFmt numFmtId="184" formatCode="_-* #,##0.000_р_._-;\-* #,##0.000_р_._-;_-* &quot;-&quot;??_р_._-;_-@_-"/>
    <numFmt numFmtId="185" formatCode="_-* #,##0.000\ _р_._-;\-* #,##0.000\ _р_._-;_-* &quot;-&quot;???\ _р_._-;_-@_-"/>
    <numFmt numFmtId="186" formatCode="#\ ##0.0_ ;[Red]\-#\ 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_р_._-;\-* #,##0.000_р_._-;_-* &quot;-&quot;???_р_._-;_-@_-"/>
    <numFmt numFmtId="192" formatCode="_-* #,##0.0_р_._-;\-* #,##0.0_р_._-;_-* &quot;-&quot;?_р_._-;_-@_-"/>
    <numFmt numFmtId="193" formatCode="0.0%"/>
    <numFmt numFmtId="194" formatCode="0.0000%"/>
    <numFmt numFmtId="195" formatCode="_-* #,##0.0\ _₽_-;\-* #,##0.0\ _₽_-;_-* &quot;-&quot;?\ _₽_-;_-@_-"/>
    <numFmt numFmtId="196" formatCode="#,##0.0000_ ;[Red]\-#,##0.0000\ "/>
    <numFmt numFmtId="197" formatCode="#,##0.00000_ ;[Red]\-#,##0.00000\ "/>
    <numFmt numFmtId="198" formatCode="0.00000000"/>
    <numFmt numFmtId="199" formatCode="0.0000000"/>
    <numFmt numFmtId="200" formatCode="0.000000"/>
    <numFmt numFmtId="201" formatCode="0.00000"/>
    <numFmt numFmtId="202" formatCode="0.000000000"/>
    <numFmt numFmtId="203" formatCode="_-* #,##0.000\ _₽_-;\-* #,##0.000\ _₽_-;_-* &quot;-&quot;???\ _₽_-;_-@_-"/>
    <numFmt numFmtId="204" formatCode="#,##0.0000"/>
    <numFmt numFmtId="205" formatCode="#,##0;[Red]\(#,##0\);\-"/>
  </numFmts>
  <fonts count="106">
    <font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5" tint="-0.4999699890613556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MS Sans Serif"/>
      <family val="2"/>
    </font>
    <font>
      <sz val="11"/>
      <color theme="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F932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205" fontId="66" fillId="19" borderId="0" applyNumberFormat="0" applyBorder="0" applyAlignment="0">
      <protection locked="0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56" applyNumberFormat="1" applyFont="1" applyBorder="1" applyAlignment="1">
      <alignment vertical="top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1" fillId="0" borderId="10" xfId="56" applyNumberFormat="1" applyFont="1" applyBorder="1" applyAlignment="1">
      <alignment vertical="top" wrapText="1"/>
      <protection/>
    </xf>
    <xf numFmtId="171" fontId="0" fillId="0" borderId="0" xfId="65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3" fontId="1" fillId="0" borderId="10" xfId="56" applyNumberFormat="1" applyFont="1" applyFill="1" applyBorder="1" applyAlignment="1">
      <alignment vertical="top" wrapText="1"/>
      <protection/>
    </xf>
    <xf numFmtId="3" fontId="1" fillId="0" borderId="0" xfId="56" applyNumberFormat="1" applyFont="1">
      <alignment/>
      <protection/>
    </xf>
    <xf numFmtId="3" fontId="1" fillId="0" borderId="0" xfId="56" applyNumberFormat="1" applyFont="1" applyAlignment="1">
      <alignment vertical="top" wrapText="1"/>
      <protection/>
    </xf>
    <xf numFmtId="172" fontId="1" fillId="0" borderId="0" xfId="0" applyNumberFormat="1" applyFont="1" applyAlignment="1">
      <alignment/>
    </xf>
    <xf numFmtId="3" fontId="9" fillId="0" borderId="10" xfId="56" applyNumberFormat="1" applyFont="1" applyFill="1" applyBorder="1" applyAlignment="1">
      <alignment vertical="top" wrapText="1"/>
      <protection/>
    </xf>
    <xf numFmtId="3" fontId="13" fillId="0" borderId="0" xfId="56" applyNumberFormat="1" applyFont="1" applyAlignment="1">
      <alignment vertical="top" wrapText="1"/>
      <protection/>
    </xf>
    <xf numFmtId="173" fontId="1" fillId="0" borderId="10" xfId="0" applyNumberFormat="1" applyFont="1" applyBorder="1" applyAlignment="1">
      <alignment vertical="top"/>
    </xf>
    <xf numFmtId="173" fontId="1" fillId="0" borderId="10" xfId="0" applyNumberFormat="1" applyFont="1" applyFill="1" applyBorder="1" applyAlignment="1">
      <alignment vertical="top" wrapText="1"/>
    </xf>
    <xf numFmtId="3" fontId="7" fillId="0" borderId="0" xfId="56" applyNumberFormat="1" applyFont="1">
      <alignment/>
      <protection/>
    </xf>
    <xf numFmtId="3" fontId="7" fillId="0" borderId="0" xfId="56" applyNumberFormat="1" applyFont="1" applyAlignment="1">
      <alignment wrapText="1"/>
      <protection/>
    </xf>
    <xf numFmtId="3" fontId="1" fillId="0" borderId="10" xfId="56" applyNumberFormat="1" applyFont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 vertical="top"/>
    </xf>
    <xf numFmtId="3" fontId="5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5" fillId="0" borderId="0" xfId="56" applyNumberFormat="1" applyFont="1" applyFill="1" applyAlignment="1">
      <alignment vertical="top" wrapText="1"/>
      <protection/>
    </xf>
    <xf numFmtId="3" fontId="1" fillId="0" borderId="0" xfId="56" applyNumberFormat="1" applyFont="1" applyAlignment="1">
      <alignment wrapText="1"/>
      <protection/>
    </xf>
    <xf numFmtId="3" fontId="16" fillId="0" borderId="0" xfId="56" applyNumberFormat="1" applyFont="1" applyFill="1" applyAlignment="1">
      <alignment vertical="top" wrapText="1"/>
      <protection/>
    </xf>
    <xf numFmtId="3" fontId="82" fillId="0" borderId="0" xfId="56" applyNumberFormat="1" applyFont="1">
      <alignment/>
      <protection/>
    </xf>
    <xf numFmtId="3" fontId="83" fillId="0" borderId="0" xfId="56" applyNumberFormat="1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4" fillId="33" borderId="0" xfId="0" applyNumberFormat="1" applyFont="1" applyFill="1" applyBorder="1" applyAlignment="1" applyProtection="1">
      <alignment vertical="top"/>
      <protection/>
    </xf>
    <xf numFmtId="0" fontId="84" fillId="34" borderId="0" xfId="0" applyNumberFormat="1" applyFont="1" applyFill="1" applyBorder="1" applyAlignment="1" applyProtection="1">
      <alignment vertical="top"/>
      <protection/>
    </xf>
    <xf numFmtId="0" fontId="11" fillId="35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1" fillId="36" borderId="0" xfId="0" applyNumberFormat="1" applyFont="1" applyFill="1" applyBorder="1" applyAlignment="1" applyProtection="1">
      <alignment vertical="top"/>
      <protection/>
    </xf>
    <xf numFmtId="0" fontId="19" fillId="36" borderId="0" xfId="0" applyNumberFormat="1" applyFont="1" applyFill="1" applyBorder="1" applyAlignment="1" applyProtection="1">
      <alignment vertical="top"/>
      <protection/>
    </xf>
    <xf numFmtId="0" fontId="17" fillId="36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1" fillId="34" borderId="0" xfId="0" applyNumberFormat="1" applyFont="1" applyFill="1" applyBorder="1" applyAlignment="1" applyProtection="1">
      <alignment vertical="top"/>
      <protection/>
    </xf>
    <xf numFmtId="0" fontId="85" fillId="36" borderId="0" xfId="0" applyNumberFormat="1" applyFont="1" applyFill="1" applyBorder="1" applyAlignment="1" applyProtection="1">
      <alignment vertical="top"/>
      <protection/>
    </xf>
    <xf numFmtId="0" fontId="86" fillId="36" borderId="0" xfId="0" applyNumberFormat="1" applyFont="1" applyFill="1" applyBorder="1" applyAlignment="1" applyProtection="1">
      <alignment vertical="top"/>
      <protection/>
    </xf>
    <xf numFmtId="0" fontId="20" fillId="36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horizontal="right" vertical="center" wrapText="1"/>
      <protection/>
    </xf>
    <xf numFmtId="3" fontId="87" fillId="0" borderId="11" xfId="0" applyNumberFormat="1" applyFont="1" applyFill="1" applyBorder="1" applyAlignment="1" applyProtection="1">
      <alignment horizontal="right" vertical="center" wrapText="1"/>
      <protection/>
    </xf>
    <xf numFmtId="0" fontId="87" fillId="0" borderId="11" xfId="0" applyNumberFormat="1" applyFont="1" applyFill="1" applyBorder="1" applyAlignment="1" applyProtection="1">
      <alignment horizontal="center" vertical="center" wrapText="1"/>
      <protection/>
    </xf>
    <xf numFmtId="0" fontId="88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2" fontId="1" fillId="37" borderId="11" xfId="0" applyNumberFormat="1" applyFont="1" applyFill="1" applyBorder="1" applyAlignment="1" applyProtection="1">
      <alignment horizontal="right" vertical="center" wrapText="1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1" xfId="0" applyNumberFormat="1" applyFont="1" applyFill="1" applyBorder="1" applyAlignment="1" applyProtection="1">
      <alignment horizontal="center" vertical="center" textRotation="90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NumberFormat="1" applyFont="1" applyFill="1" applyBorder="1" applyAlignment="1" applyProtection="1">
      <alignment horizontal="right" vertical="center" wrapText="1"/>
      <protection/>
    </xf>
    <xf numFmtId="3" fontId="22" fillId="37" borderId="11" xfId="0" applyNumberFormat="1" applyFont="1" applyFill="1" applyBorder="1" applyAlignment="1" applyProtection="1">
      <alignment horizontal="right" vertical="center" wrapText="1"/>
      <protection/>
    </xf>
    <xf numFmtId="2" fontId="22" fillId="37" borderId="10" xfId="0" applyNumberFormat="1" applyFont="1" applyFill="1" applyBorder="1" applyAlignment="1" applyProtection="1">
      <alignment horizontal="right" vertical="center" wrapText="1"/>
      <protection/>
    </xf>
    <xf numFmtId="0" fontId="22" fillId="37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12" xfId="0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 applyProtection="1">
      <alignment horizontal="right" vertical="center" wrapText="1"/>
      <protection/>
    </xf>
    <xf numFmtId="3" fontId="22" fillId="37" borderId="12" xfId="0" applyNumberFormat="1" applyFont="1" applyFill="1" applyBorder="1" applyAlignment="1" applyProtection="1">
      <alignment horizontal="right" vertical="center" wrapText="1"/>
      <protection/>
    </xf>
    <xf numFmtId="3" fontId="22" fillId="37" borderId="10" xfId="0" applyNumberFormat="1" applyFont="1" applyFill="1" applyBorder="1" applyAlignment="1" applyProtection="1">
      <alignment horizontal="right"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0" fontId="88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89" fillId="37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horizontal="justify" vertical="center" wrapText="1"/>
      <protection/>
    </xf>
    <xf numFmtId="0" fontId="89" fillId="0" borderId="0" xfId="0" applyNumberFormat="1" applyFont="1" applyFill="1" applyBorder="1" applyAlignment="1" applyProtection="1">
      <alignment horizontal="right" vertical="center" wrapText="1"/>
      <protection/>
    </xf>
    <xf numFmtId="3" fontId="89" fillId="0" borderId="10" xfId="0" applyNumberFormat="1" applyFont="1" applyFill="1" applyBorder="1" applyAlignment="1" applyProtection="1">
      <alignment horizontal="right" vertical="center" wrapText="1"/>
      <protection/>
    </xf>
    <xf numFmtId="3" fontId="89" fillId="37" borderId="10" xfId="0" applyNumberFormat="1" applyFont="1" applyFill="1" applyBorder="1" applyAlignment="1" applyProtection="1">
      <alignment horizontal="right" vertical="center" wrapText="1"/>
      <protection/>
    </xf>
    <xf numFmtId="177" fontId="89" fillId="37" borderId="10" xfId="0" applyNumberFormat="1" applyFont="1" applyFill="1" applyBorder="1" applyAlignment="1" applyProtection="1">
      <alignment horizontal="right" vertical="center" wrapText="1"/>
      <protection/>
    </xf>
    <xf numFmtId="43" fontId="11" fillId="0" borderId="0" xfId="0" applyNumberFormat="1" applyFont="1" applyFill="1" applyBorder="1" applyAlignment="1" applyProtection="1">
      <alignment vertical="top"/>
      <protection/>
    </xf>
    <xf numFmtId="182" fontId="89" fillId="37" borderId="10" xfId="65" applyNumberFormat="1" applyFont="1" applyFill="1" applyBorder="1" applyAlignment="1" applyProtection="1">
      <alignment horizontal="center" vertical="center" wrapText="1"/>
      <protection/>
    </xf>
    <xf numFmtId="3" fontId="89" fillId="37" borderId="10" xfId="0" applyNumberFormat="1" applyFont="1" applyFill="1" applyBorder="1" applyAlignment="1" applyProtection="1">
      <alignment horizontal="center" vertical="center" wrapText="1"/>
      <protection/>
    </xf>
    <xf numFmtId="1" fontId="89" fillId="37" borderId="10" xfId="0" applyNumberFormat="1" applyFont="1" applyFill="1" applyBorder="1" applyAlignment="1" applyProtection="1">
      <alignment horizontal="center" vertical="center" wrapText="1"/>
      <protection/>
    </xf>
    <xf numFmtId="2" fontId="89" fillId="37" borderId="10" xfId="0" applyNumberFormat="1" applyFont="1" applyFill="1" applyBorder="1" applyAlignment="1" applyProtection="1">
      <alignment horizontal="center" vertical="center" wrapText="1"/>
      <protection/>
    </xf>
    <xf numFmtId="172" fontId="89" fillId="0" borderId="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horizontal="left" vertical="center" wrapText="1"/>
      <protection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37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37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1" fontId="5" fillId="0" borderId="0" xfId="56" applyNumberFormat="1" applyFont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0" fillId="33" borderId="0" xfId="0" applyNumberFormat="1" applyFont="1" applyFill="1" applyBorder="1" applyAlignment="1" applyProtection="1">
      <alignment vertical="top"/>
      <protection/>
    </xf>
    <xf numFmtId="0" fontId="84" fillId="34" borderId="13" xfId="0" applyNumberFormat="1" applyFont="1" applyFill="1" applyBorder="1" applyAlignment="1" applyProtection="1">
      <alignment vertical="top"/>
      <protection/>
    </xf>
    <xf numFmtId="0" fontId="84" fillId="34" borderId="14" xfId="0" applyNumberFormat="1" applyFont="1" applyFill="1" applyBorder="1" applyAlignment="1" applyProtection="1">
      <alignment vertical="top"/>
      <protection/>
    </xf>
    <xf numFmtId="0" fontId="11" fillId="34" borderId="15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vertical="top"/>
      <protection/>
    </xf>
    <xf numFmtId="0" fontId="17" fillId="0" borderId="16" xfId="0" applyNumberFormat="1" applyFont="1" applyFill="1" applyBorder="1" applyAlignment="1" applyProtection="1">
      <alignment vertical="top"/>
      <protection/>
    </xf>
    <xf numFmtId="0" fontId="17" fillId="0" borderId="17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11" fillId="0" borderId="20" xfId="0" applyNumberFormat="1" applyFont="1" applyFill="1" applyBorder="1" applyAlignment="1" applyProtection="1">
      <alignment vertical="top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0" fontId="91" fillId="0" borderId="0" xfId="0" applyNumberFormat="1" applyFont="1" applyFill="1" applyBorder="1" applyAlignment="1" applyProtection="1">
      <alignment vertical="top"/>
      <protection/>
    </xf>
    <xf numFmtId="0" fontId="92" fillId="38" borderId="0" xfId="0" applyNumberFormat="1" applyFont="1" applyFill="1" applyBorder="1" applyAlignment="1" applyProtection="1">
      <alignment vertical="top"/>
      <protection/>
    </xf>
    <xf numFmtId="0" fontId="23" fillId="38" borderId="0" xfId="0" applyNumberFormat="1" applyFont="1" applyFill="1" applyBorder="1" applyAlignment="1" applyProtection="1">
      <alignment vertical="top"/>
      <protection/>
    </xf>
    <xf numFmtId="0" fontId="85" fillId="39" borderId="0" xfId="0" applyNumberFormat="1" applyFont="1" applyFill="1" applyBorder="1" applyAlignment="1" applyProtection="1">
      <alignment vertical="top"/>
      <protection/>
    </xf>
    <xf numFmtId="0" fontId="93" fillId="39" borderId="0" xfId="0" applyFont="1" applyFill="1" applyAlignment="1">
      <alignment/>
    </xf>
    <xf numFmtId="0" fontId="93" fillId="39" borderId="0" xfId="0" applyFont="1" applyFill="1" applyAlignment="1">
      <alignment horizontal="right"/>
    </xf>
    <xf numFmtId="0" fontId="94" fillId="39" borderId="0" xfId="0" applyFont="1" applyFill="1" applyAlignment="1">
      <alignment/>
    </xf>
    <xf numFmtId="0" fontId="84" fillId="0" borderId="13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Border="1" applyAlignment="1">
      <alignment horizontal="center" vertical="top"/>
    </xf>
    <xf numFmtId="0" fontId="87" fillId="0" borderId="10" xfId="0" applyFont="1" applyBorder="1" applyAlignment="1">
      <alignment horizontal="center" vertical="top"/>
    </xf>
    <xf numFmtId="9" fontId="87" fillId="0" borderId="10" xfId="0" applyNumberFormat="1" applyFont="1" applyBorder="1" applyAlignment="1">
      <alignment horizontal="center" vertical="top"/>
    </xf>
    <xf numFmtId="0" fontId="95" fillId="0" borderId="0" xfId="0" applyFont="1" applyAlignment="1">
      <alignment vertical="top"/>
    </xf>
    <xf numFmtId="0" fontId="1" fillId="0" borderId="21" xfId="0" applyFont="1" applyBorder="1" applyAlignment="1">
      <alignment horizontal="center" vertical="top"/>
    </xf>
    <xf numFmtId="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right" vertical="top" wrapText="1"/>
    </xf>
    <xf numFmtId="1" fontId="11" fillId="37" borderId="10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1" fontId="1" fillId="37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" fontId="1" fillId="40" borderId="10" xfId="0" applyNumberFormat="1" applyFont="1" applyFill="1" applyBorder="1" applyAlignment="1" applyProtection="1">
      <alignment horizontal="center" vertical="top"/>
      <protection/>
    </xf>
    <xf numFmtId="3" fontId="1" fillId="37" borderId="10" xfId="0" applyNumberFormat="1" applyFont="1" applyFill="1" applyBorder="1" applyAlignment="1" applyProtection="1">
      <alignment vertical="top"/>
      <protection/>
    </xf>
    <xf numFmtId="0" fontId="1" fillId="37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vertical="top"/>
    </xf>
    <xf numFmtId="0" fontId="96" fillId="34" borderId="10" xfId="0" applyFont="1" applyFill="1" applyBorder="1" applyAlignment="1">
      <alignment vertical="top" wrapText="1"/>
    </xf>
    <xf numFmtId="173" fontId="96" fillId="34" borderId="10" xfId="0" applyNumberFormat="1" applyFont="1" applyFill="1" applyBorder="1" applyAlignment="1">
      <alignment vertical="top" wrapText="1"/>
    </xf>
    <xf numFmtId="0" fontId="24" fillId="41" borderId="0" xfId="0" applyFont="1" applyFill="1" applyAlignment="1">
      <alignment vertical="top" wrapText="1"/>
    </xf>
    <xf numFmtId="3" fontId="94" fillId="34" borderId="10" xfId="56" applyNumberFormat="1" applyFont="1" applyFill="1" applyBorder="1" applyAlignment="1">
      <alignment vertical="top"/>
      <protection/>
    </xf>
    <xf numFmtId="3" fontId="8" fillId="0" borderId="23" xfId="56" applyNumberFormat="1" applyFont="1" applyFill="1" applyBorder="1" applyAlignment="1">
      <alignment vertical="top" wrapText="1"/>
      <protection/>
    </xf>
    <xf numFmtId="0" fontId="97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11" fillId="36" borderId="0" xfId="0" applyNumberFormat="1" applyFont="1" applyFill="1" applyBorder="1" applyAlignment="1" applyProtection="1">
      <alignment horizontal="center" vertical="top"/>
      <protection/>
    </xf>
    <xf numFmtId="0" fontId="19" fillId="36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1" fillId="34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84" fillId="34" borderId="0" xfId="0" applyNumberFormat="1" applyFont="1" applyFill="1" applyBorder="1" applyAlignment="1" applyProtection="1">
      <alignment horizontal="center" vertical="top"/>
      <protection/>
    </xf>
    <xf numFmtId="0" fontId="84" fillId="33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0" fontId="98" fillId="0" borderId="0" xfId="0" applyNumberFormat="1" applyFont="1" applyFill="1" applyBorder="1" applyAlignment="1" applyProtection="1">
      <alignment horizontal="center" vertical="top"/>
      <protection/>
    </xf>
    <xf numFmtId="0" fontId="98" fillId="0" borderId="0" xfId="0" applyNumberFormat="1" applyFont="1" applyFill="1" applyBorder="1" applyAlignment="1" applyProtection="1">
      <alignment vertical="top"/>
      <protection/>
    </xf>
    <xf numFmtId="2" fontId="98" fillId="0" borderId="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3" fontId="1" fillId="37" borderId="10" xfId="0" applyNumberFormat="1" applyFont="1" applyFill="1" applyBorder="1" applyAlignment="1" applyProtection="1">
      <alignment vertical="top" wrapText="1"/>
      <protection/>
    </xf>
    <xf numFmtId="1" fontId="1" fillId="37" borderId="10" xfId="0" applyNumberFormat="1" applyFont="1" applyFill="1" applyBorder="1" applyAlignment="1" applyProtection="1">
      <alignment vertical="top" wrapText="1"/>
      <protection/>
    </xf>
    <xf numFmtId="3" fontId="1" fillId="37" borderId="10" xfId="0" applyNumberFormat="1" applyFont="1" applyFill="1" applyBorder="1" applyAlignment="1" applyProtection="1">
      <alignment vertical="center" wrapText="1"/>
      <protection/>
    </xf>
    <xf numFmtId="172" fontId="1" fillId="37" borderId="10" xfId="0" applyNumberFormat="1" applyFont="1" applyFill="1" applyBorder="1" applyAlignment="1" applyProtection="1">
      <alignment vertical="center" wrapText="1"/>
      <protection/>
    </xf>
    <xf numFmtId="9" fontId="1" fillId="37" borderId="10" xfId="0" applyNumberFormat="1" applyFont="1" applyFill="1" applyBorder="1" applyAlignment="1" applyProtection="1">
      <alignment vertical="center" wrapText="1"/>
      <protection/>
    </xf>
    <xf numFmtId="0" fontId="11" fillId="37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2" fontId="11" fillId="37" borderId="10" xfId="0" applyNumberFormat="1" applyFont="1" applyFill="1" applyBorder="1" applyAlignment="1" applyProtection="1">
      <alignment horizontal="center" vertical="top"/>
      <protection/>
    </xf>
    <xf numFmtId="1" fontId="5" fillId="0" borderId="0" xfId="56" applyNumberFormat="1" applyFont="1" applyAlignment="1">
      <alignment horizontal="center"/>
      <protection/>
    </xf>
    <xf numFmtId="3" fontId="99" fillId="0" borderId="0" xfId="56" applyNumberFormat="1" applyFont="1" applyAlignment="1">
      <alignment wrapText="1"/>
      <protection/>
    </xf>
    <xf numFmtId="3" fontId="100" fillId="0" borderId="10" xfId="56" applyNumberFormat="1" applyFont="1" applyBorder="1" applyAlignment="1">
      <alignment wrapText="1"/>
      <protection/>
    </xf>
    <xf numFmtId="3" fontId="101" fillId="0" borderId="0" xfId="56" applyNumberFormat="1" applyFont="1" applyAlignment="1">
      <alignment horizontal="center"/>
      <protection/>
    </xf>
    <xf numFmtId="0" fontId="87" fillId="0" borderId="0" xfId="0" applyFont="1" applyFill="1" applyAlignment="1">
      <alignment vertical="top"/>
    </xf>
    <xf numFmtId="0" fontId="95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02" fillId="0" borderId="0" xfId="0" applyNumberFormat="1" applyFont="1" applyFill="1" applyBorder="1" applyAlignment="1" applyProtection="1">
      <alignment vertical="top"/>
      <protection/>
    </xf>
    <xf numFmtId="0" fontId="87" fillId="0" borderId="0" xfId="0" applyFont="1" applyFill="1" applyAlignment="1">
      <alignment/>
    </xf>
    <xf numFmtId="3" fontId="87" fillId="0" borderId="0" xfId="0" applyNumberFormat="1" applyFont="1" applyFill="1" applyAlignment="1">
      <alignment vertical="top" wrapText="1"/>
    </xf>
    <xf numFmtId="3" fontId="87" fillId="0" borderId="0" xfId="0" applyNumberFormat="1" applyFont="1" applyFill="1" applyAlignment="1">
      <alignment vertical="top"/>
    </xf>
    <xf numFmtId="0" fontId="87" fillId="0" borderId="0" xfId="0" applyFont="1" applyFill="1" applyAlignment="1">
      <alignment vertical="top" wrapText="1"/>
    </xf>
    <xf numFmtId="0" fontId="103" fillId="0" borderId="0" xfId="0" applyFont="1" applyFill="1" applyAlignment="1">
      <alignment vertical="top" wrapText="1"/>
    </xf>
    <xf numFmtId="3" fontId="103" fillId="0" borderId="0" xfId="0" applyNumberFormat="1" applyFont="1" applyFill="1" applyAlignment="1">
      <alignment vertical="top" wrapText="1"/>
    </xf>
    <xf numFmtId="3" fontId="103" fillId="0" borderId="0" xfId="0" applyNumberFormat="1" applyFont="1" applyFill="1" applyAlignment="1">
      <alignment vertical="top"/>
    </xf>
    <xf numFmtId="0" fontId="89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3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3" fontId="1" fillId="0" borderId="11" xfId="0" applyNumberFormat="1" applyFont="1" applyFill="1" applyBorder="1" applyAlignment="1" applyProtection="1">
      <alignment vertical="top" wrapText="1"/>
      <protection/>
    </xf>
    <xf numFmtId="3" fontId="1" fillId="37" borderId="11" xfId="0" applyNumberFormat="1" applyFont="1" applyFill="1" applyBorder="1" applyAlignment="1" applyProtection="1">
      <alignment horizontal="right" vertical="top" wrapText="1"/>
      <protection/>
    </xf>
    <xf numFmtId="3" fontId="1" fillId="37" borderId="11" xfId="0" applyNumberFormat="1" applyFont="1" applyFill="1" applyBorder="1" applyAlignment="1" applyProtection="1">
      <alignment vertical="top" wrapText="1"/>
      <protection/>
    </xf>
    <xf numFmtId="177" fontId="87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7" borderId="11" xfId="0" applyNumberFormat="1" applyFont="1" applyFill="1" applyBorder="1" applyAlignment="1" applyProtection="1">
      <alignment horizontal="right" vertical="center"/>
      <protection/>
    </xf>
    <xf numFmtId="0" fontId="1" fillId="37" borderId="11" xfId="0" applyNumberFormat="1" applyFont="1" applyFill="1" applyBorder="1" applyAlignment="1" applyProtection="1">
      <alignment vertical="center" wrapText="1"/>
      <protection/>
    </xf>
    <xf numFmtId="0" fontId="1" fillId="37" borderId="11" xfId="0" applyNumberFormat="1" applyFont="1" applyFill="1" applyBorder="1" applyAlignment="1" applyProtection="1">
      <alignment horizontal="right" vertical="center" wrapText="1"/>
      <protection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2" fontId="1" fillId="37" borderId="11" xfId="0" applyNumberFormat="1" applyFont="1" applyFill="1" applyBorder="1" applyAlignment="1" applyProtection="1">
      <alignment horizontal="right" vertical="top" wrapText="1"/>
      <protection/>
    </xf>
    <xf numFmtId="0" fontId="88" fillId="0" borderId="11" xfId="0" applyNumberFormat="1" applyFont="1" applyFill="1" applyBorder="1" applyAlignment="1" applyProtection="1">
      <alignment horizontal="right" vertical="top" wrapText="1"/>
      <protection/>
    </xf>
    <xf numFmtId="2" fontId="1" fillId="37" borderId="11" xfId="0" applyNumberFormat="1" applyFont="1" applyFill="1" applyBorder="1" applyAlignment="1" applyProtection="1">
      <alignment horizontal="right" vertical="top"/>
      <protection/>
    </xf>
    <xf numFmtId="0" fontId="89" fillId="37" borderId="10" xfId="0" applyNumberFormat="1" applyFont="1" applyFill="1" applyBorder="1" applyAlignment="1" applyProtection="1">
      <alignment horizontal="right" vertical="center" wrapText="1"/>
      <protection/>
    </xf>
    <xf numFmtId="0" fontId="89" fillId="0" borderId="22" xfId="0" applyNumberFormat="1" applyFont="1" applyFill="1" applyBorder="1" applyAlignment="1" applyProtection="1">
      <alignment horizontal="right" vertical="center" wrapText="1"/>
      <protection/>
    </xf>
    <xf numFmtId="0" fontId="104" fillId="0" borderId="10" xfId="0" applyNumberFormat="1" applyFont="1" applyFill="1" applyBorder="1" applyAlignment="1" applyProtection="1">
      <alignment horizontal="left" vertical="center" wrapText="1"/>
      <protection/>
    </xf>
    <xf numFmtId="3" fontId="88" fillId="37" borderId="10" xfId="0" applyNumberFormat="1" applyFont="1" applyFill="1" applyBorder="1" applyAlignment="1" applyProtection="1">
      <alignment vertical="top" wrapText="1"/>
      <protection/>
    </xf>
    <xf numFmtId="3" fontId="104" fillId="0" borderId="10" xfId="0" applyNumberFormat="1" applyFont="1" applyFill="1" applyBorder="1" applyAlignment="1" applyProtection="1">
      <alignment vertical="top" wrapText="1"/>
      <protection/>
    </xf>
    <xf numFmtId="0" fontId="104" fillId="0" borderId="10" xfId="0" applyNumberFormat="1" applyFont="1" applyFill="1" applyBorder="1" applyAlignment="1" applyProtection="1">
      <alignment vertical="top" wrapText="1"/>
      <protection/>
    </xf>
    <xf numFmtId="0" fontId="88" fillId="37" borderId="10" xfId="0" applyNumberFormat="1" applyFont="1" applyFill="1" applyBorder="1" applyAlignment="1" applyProtection="1">
      <alignment vertical="top" wrapText="1"/>
      <protection/>
    </xf>
    <xf numFmtId="3" fontId="1" fillId="37" borderId="11" xfId="0" applyNumberFormat="1" applyFont="1" applyFill="1" applyBorder="1" applyAlignment="1" applyProtection="1">
      <alignment horizontal="right" vertical="center" wrapText="1"/>
      <protection/>
    </xf>
    <xf numFmtId="0" fontId="1" fillId="37" borderId="10" xfId="0" applyNumberFormat="1" applyFont="1" applyFill="1" applyBorder="1" applyAlignment="1" applyProtection="1">
      <alignment horizontal="right" vertical="top" wrapText="1"/>
      <protection/>
    </xf>
    <xf numFmtId="3" fontId="1" fillId="37" borderId="10" xfId="0" applyNumberFormat="1" applyFont="1" applyFill="1" applyBorder="1" applyAlignment="1" applyProtection="1">
      <alignment horizontal="right" vertical="top" wrapText="1"/>
      <protection/>
    </xf>
    <xf numFmtId="1" fontId="1" fillId="37" borderId="10" xfId="0" applyNumberFormat="1" applyFont="1" applyFill="1" applyBorder="1" applyAlignment="1" applyProtection="1">
      <alignment horizontal="right" vertical="top" wrapText="1"/>
      <protection/>
    </xf>
    <xf numFmtId="1" fontId="1" fillId="37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vertical="top"/>
      <protection/>
    </xf>
    <xf numFmtId="0" fontId="88" fillId="0" borderId="22" xfId="0" applyNumberFormat="1" applyFont="1" applyFill="1" applyBorder="1" applyAlignment="1" applyProtection="1">
      <alignment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88" fillId="0" borderId="10" xfId="0" applyNumberFormat="1" applyFont="1" applyFill="1" applyBorder="1" applyAlignment="1" applyProtection="1">
      <alignment horizontal="center" vertical="top"/>
      <protection/>
    </xf>
    <xf numFmtId="0" fontId="88" fillId="0" borderId="22" xfId="0" applyNumberFormat="1" applyFont="1" applyFill="1" applyBorder="1" applyAlignment="1" applyProtection="1">
      <alignment horizontal="center" vertical="top"/>
      <protection/>
    </xf>
    <xf numFmtId="0" fontId="88" fillId="0" borderId="24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0" fontId="89" fillId="0" borderId="10" xfId="0" applyNumberFormat="1" applyFont="1" applyFill="1" applyBorder="1" applyAlignment="1" applyProtection="1">
      <alignment horizontal="right" vertical="center" wrapText="1"/>
      <protection/>
    </xf>
    <xf numFmtId="0" fontId="89" fillId="0" borderId="25" xfId="0" applyNumberFormat="1" applyFont="1" applyFill="1" applyBorder="1" applyAlignment="1" applyProtection="1">
      <alignment horizontal="right" vertical="center" wrapText="1"/>
      <protection/>
    </xf>
    <xf numFmtId="0" fontId="89" fillId="0" borderId="21" xfId="0" applyNumberFormat="1" applyFont="1" applyFill="1" applyBorder="1" applyAlignment="1" applyProtection="1">
      <alignment horizontal="right" vertical="center" wrapText="1"/>
      <protection/>
    </xf>
    <xf numFmtId="0" fontId="89" fillId="0" borderId="26" xfId="0" applyNumberFormat="1" applyFont="1" applyFill="1" applyBorder="1" applyAlignment="1" applyProtection="1">
      <alignment horizontal="right" vertical="center" wrapText="1"/>
      <protection/>
    </xf>
    <xf numFmtId="0" fontId="89" fillId="0" borderId="2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 horizontal="center" vertical="top"/>
      <protection/>
    </xf>
    <xf numFmtId="1" fontId="88" fillId="37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vertical="center" wrapText="1"/>
      <protection/>
    </xf>
    <xf numFmtId="0" fontId="88" fillId="37" borderId="10" xfId="0" applyNumberFormat="1" applyFont="1" applyFill="1" applyBorder="1" applyAlignment="1" applyProtection="1">
      <alignment vertical="center" wrapText="1"/>
      <protection/>
    </xf>
    <xf numFmtId="3" fontId="88" fillId="37" borderId="10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 applyProtection="1">
      <alignment horizontal="right" vertical="center" wrapText="1"/>
      <protection/>
    </xf>
    <xf numFmtId="0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29" xfId="0" applyNumberFormat="1" applyFont="1" applyFill="1" applyBorder="1" applyAlignment="1" applyProtection="1">
      <alignment horizontal="right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8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1" fontId="1" fillId="0" borderId="26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1" fillId="0" borderId="10" xfId="56" applyNumberFormat="1" applyFont="1" applyBorder="1" applyAlignment="1">
      <alignment horizontal="center" vertical="center" wrapText="1"/>
      <protection/>
    </xf>
    <xf numFmtId="1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Font="1" applyBorder="1" applyAlignment="1">
      <alignment horizontal="center" vertical="center"/>
      <protection/>
    </xf>
    <xf numFmtId="3" fontId="1" fillId="0" borderId="10" xfId="56" applyNumberFormat="1" applyFont="1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 vertical="top"/>
    </xf>
    <xf numFmtId="172" fontId="1" fillId="37" borderId="10" xfId="0" applyNumberFormat="1" applyFont="1" applyFill="1" applyBorder="1" applyAlignment="1" applyProtection="1">
      <alignment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npu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Расчёты Бизнес план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</xdr:row>
      <xdr:rowOff>95250</xdr:rowOff>
    </xdr:from>
    <xdr:to>
      <xdr:col>4</xdr:col>
      <xdr:colOff>600075</xdr:colOff>
      <xdr:row>9</xdr:row>
      <xdr:rowOff>104775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4324350" y="1714500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57150</xdr:rowOff>
    </xdr:from>
    <xdr:to>
      <xdr:col>7</xdr:col>
      <xdr:colOff>457200</xdr:colOff>
      <xdr:row>13</xdr:row>
      <xdr:rowOff>133350</xdr:rowOff>
    </xdr:to>
    <xdr:sp>
      <xdr:nvSpPr>
        <xdr:cNvPr id="2" name="Прямая со стрелкой 8"/>
        <xdr:cNvSpPr>
          <a:spLocks/>
        </xdr:cNvSpPr>
      </xdr:nvSpPr>
      <xdr:spPr>
        <a:xfrm flipV="1">
          <a:off x="6572250" y="2324100"/>
          <a:ext cx="2667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8;&#1047;&#1053;&#1045;&#1057;-&#1055;&#1051;&#1040;&#1053;\&#1041;&#1080;&#1079;&#1085;&#1077;&#1089;-&#1087;&#1083;&#1072;&#1085;%20&#1052;&#1057;&#1055;\&#1041;&#1055;%20&#1082;&#1086;&#1090;&#1077;&#1083;&#1100;&#1085;&#1086;&#1081;\2019\&#1058;&#1077;&#1087;&#1083;&#1086;_&#1079;&#1072;&#1087;&#1088;&#1086;&#1089;%20&#1076;&#1072;&#1085;&#1085;&#1099;&#1093;%20&#1076;&#1083;&#1103;%20&#1084;&#1086;&#1076;&#1077;&#1083;&#1080;%20&#1091;%20&#1082;&#1083;&#1080;&#1077;&#1085;&#1090;&#1072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Input"/>
      <sheetName val="Controls"/>
    </sheetNames>
    <sheetDataSet>
      <sheetData sheetId="1">
        <row r="41">
          <cell r="D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4"/>
  <sheetViews>
    <sheetView zoomScale="80" zoomScaleNormal="80" zoomScalePageLayoutView="0" workbookViewId="0" topLeftCell="A328">
      <selection activeCell="C350" sqref="C350"/>
    </sheetView>
  </sheetViews>
  <sheetFormatPr defaultColWidth="9.140625" defaultRowHeight="12.75" outlineLevelRow="1"/>
  <cols>
    <col min="1" max="1" width="4.421875" style="58" customWidth="1"/>
    <col min="2" max="2" width="29.8515625" style="45" customWidth="1"/>
    <col min="3" max="3" width="12.421875" style="45" customWidth="1"/>
    <col min="4" max="4" width="13.140625" style="45" customWidth="1"/>
    <col min="5" max="5" width="14.00390625" style="45" customWidth="1"/>
    <col min="6" max="6" width="11.57421875" style="45" customWidth="1"/>
    <col min="7" max="7" width="10.28125" style="45" customWidth="1"/>
    <col min="8" max="8" width="8.00390625" style="45" customWidth="1"/>
    <col min="9" max="9" width="11.421875" style="45" bestFit="1" customWidth="1"/>
    <col min="10" max="16384" width="9.140625" style="45" customWidth="1"/>
  </cols>
  <sheetData>
    <row r="1" spans="1:3" s="121" customFormat="1" ht="18">
      <c r="A1" s="174"/>
      <c r="B1" s="122" t="s">
        <v>262</v>
      </c>
      <c r="C1" s="121" t="s">
        <v>263</v>
      </c>
    </row>
    <row r="2" ht="12.75"/>
    <row r="3" spans="1:86" s="50" customFormat="1" ht="12.75">
      <c r="A3" s="17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s="50" customFormat="1" ht="20.25">
      <c r="A4" s="175"/>
      <c r="B4" s="55" t="s">
        <v>53</v>
      </c>
      <c r="C4" s="55"/>
      <c r="D4" s="56"/>
      <c r="E4" s="56"/>
      <c r="F4" s="56"/>
      <c r="G4" s="57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s="51" customFormat="1" ht="12.75">
      <c r="A5" s="176"/>
      <c r="B5" s="52" t="s">
        <v>70</v>
      </c>
      <c r="C5" s="52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</row>
    <row r="6" spans="1:86" s="51" customFormat="1" ht="12.75">
      <c r="A6" s="176"/>
      <c r="B6" s="52" t="s">
        <v>351</v>
      </c>
      <c r="C6" s="52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</row>
    <row r="7" ht="12.75"/>
    <row r="8" spans="2:8" ht="12.75">
      <c r="B8" s="123" t="s">
        <v>54</v>
      </c>
      <c r="C8" s="124"/>
      <c r="D8" s="124"/>
      <c r="E8" s="124"/>
      <c r="F8" s="124"/>
      <c r="G8" s="124"/>
      <c r="H8" s="125"/>
    </row>
    <row r="9" spans="2:8" ht="12.75">
      <c r="B9" s="126"/>
      <c r="H9" s="127"/>
    </row>
    <row r="10" spans="2:8" ht="12.75">
      <c r="B10" s="126" t="s">
        <v>81</v>
      </c>
      <c r="F10" s="48"/>
      <c r="H10" s="127"/>
    </row>
    <row r="11" spans="1:8" s="53" customFormat="1" ht="12.75">
      <c r="A11" s="177"/>
      <c r="B11" s="128" t="s">
        <v>101</v>
      </c>
      <c r="H11" s="129"/>
    </row>
    <row r="12" spans="2:8" ht="12.75">
      <c r="B12" s="126"/>
      <c r="H12" s="127"/>
    </row>
    <row r="13" spans="2:8" ht="12.75">
      <c r="B13" s="126" t="s">
        <v>55</v>
      </c>
      <c r="H13" s="127"/>
    </row>
    <row r="14" spans="2:8" ht="12.75">
      <c r="B14" s="128" t="s">
        <v>56</v>
      </c>
      <c r="C14" s="53"/>
      <c r="H14" s="127"/>
    </row>
    <row r="15" spans="2:8" ht="12.75">
      <c r="B15" s="128"/>
      <c r="C15" s="53"/>
      <c r="H15" s="127"/>
    </row>
    <row r="16" spans="2:8" ht="12.75">
      <c r="B16" s="126" t="s">
        <v>261</v>
      </c>
      <c r="H16" s="127"/>
    </row>
    <row r="17" spans="2:8" ht="12.75">
      <c r="B17" s="130" t="s">
        <v>352</v>
      </c>
      <c r="C17" s="131"/>
      <c r="D17" s="131"/>
      <c r="E17" s="131"/>
      <c r="F17" s="131"/>
      <c r="G17" s="131"/>
      <c r="H17" s="132"/>
    </row>
    <row r="18" ht="12.75">
      <c r="B18" s="53"/>
    </row>
    <row r="19" spans="1:86" s="54" customFormat="1" ht="12.75">
      <c r="A19" s="178"/>
      <c r="B19" s="47" t="s">
        <v>60</v>
      </c>
      <c r="C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ht="12.75"/>
    <row r="21" spans="2:4" ht="12.75">
      <c r="B21" s="45" t="s">
        <v>62</v>
      </c>
      <c r="C21" s="58"/>
      <c r="D21" s="203" t="s">
        <v>63</v>
      </c>
    </row>
    <row r="22" spans="2:4" ht="12.75">
      <c r="B22" s="45" t="s">
        <v>64</v>
      </c>
      <c r="C22" s="58"/>
      <c r="D22" s="203" t="s">
        <v>61</v>
      </c>
    </row>
    <row r="23" spans="2:4" ht="12.75">
      <c r="B23" s="45" t="s">
        <v>65</v>
      </c>
      <c r="C23" s="58"/>
      <c r="D23" s="203">
        <f>5*4</f>
        <v>20</v>
      </c>
    </row>
    <row r="24" spans="2:4" ht="12.75">
      <c r="B24" s="45" t="s">
        <v>313</v>
      </c>
      <c r="C24" s="58"/>
      <c r="D24" s="203" t="s">
        <v>8</v>
      </c>
    </row>
    <row r="25" spans="2:3" ht="12.75">
      <c r="B25" s="49" t="s">
        <v>314</v>
      </c>
      <c r="C25" s="58"/>
    </row>
    <row r="26" spans="2:4" ht="12.75" hidden="1">
      <c r="B26" s="45" t="s">
        <v>325</v>
      </c>
      <c r="C26" s="58"/>
      <c r="D26" s="204">
        <v>1</v>
      </c>
    </row>
    <row r="27" spans="2:3" ht="12.75" hidden="1">
      <c r="B27" s="49" t="s">
        <v>326</v>
      </c>
      <c r="C27" s="58"/>
    </row>
    <row r="28" spans="2:4" ht="12.75" hidden="1">
      <c r="B28" s="45" t="s">
        <v>327</v>
      </c>
      <c r="C28" s="58"/>
      <c r="D28" s="205">
        <f>IF(D26=1,1,1.05)</f>
        <v>1</v>
      </c>
    </row>
    <row r="29" ht="12.75"/>
    <row r="30" spans="1:86" s="54" customFormat="1" ht="12.75">
      <c r="A30" s="178"/>
      <c r="B30" s="47" t="s">
        <v>69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</row>
    <row r="31" ht="12.75">
      <c r="B31" s="53" t="s">
        <v>304</v>
      </c>
    </row>
    <row r="32" ht="12.75">
      <c r="B32" s="53"/>
    </row>
    <row r="33" spans="2:4" ht="12.75">
      <c r="B33" s="45" t="s">
        <v>57</v>
      </c>
      <c r="D33" s="117">
        <v>2019</v>
      </c>
    </row>
    <row r="34" spans="1:2" s="49" customFormat="1" ht="12">
      <c r="A34" s="179"/>
      <c r="B34" s="49" t="s">
        <v>58</v>
      </c>
    </row>
    <row r="35" spans="2:4" ht="12.75">
      <c r="B35" s="45" t="s">
        <v>59</v>
      </c>
      <c r="D35" s="117">
        <v>1</v>
      </c>
    </row>
    <row r="36" spans="1:2" s="59" customFormat="1" ht="12">
      <c r="A36" s="180"/>
      <c r="B36" s="49" t="s">
        <v>67</v>
      </c>
    </row>
    <row r="37" ht="12.75"/>
    <row r="38" spans="2:4" ht="12.75">
      <c r="B38" s="45" t="s">
        <v>66</v>
      </c>
      <c r="D38" s="117">
        <v>2</v>
      </c>
    </row>
    <row r="39" spans="1:2" s="59" customFormat="1" ht="12">
      <c r="A39" s="180"/>
      <c r="B39" s="49" t="s">
        <v>68</v>
      </c>
    </row>
    <row r="40" ht="12.75"/>
    <row r="41" spans="1:86" s="47" customFormat="1" ht="12.75">
      <c r="A41" s="181"/>
      <c r="B41" s="47" t="s">
        <v>71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</row>
    <row r="42" ht="12.75">
      <c r="B42" s="53" t="s">
        <v>82</v>
      </c>
    </row>
    <row r="43" ht="12.75">
      <c r="B43" s="53"/>
    </row>
    <row r="44" spans="1:2" ht="15">
      <c r="A44" s="58" t="s">
        <v>305</v>
      </c>
      <c r="B44" s="65" t="s">
        <v>355</v>
      </c>
    </row>
    <row r="45" spans="2:4" ht="38.25">
      <c r="B45" s="60" t="s">
        <v>72</v>
      </c>
      <c r="C45" s="60" t="s">
        <v>73</v>
      </c>
      <c r="D45" s="60" t="s">
        <v>74</v>
      </c>
    </row>
    <row r="46" spans="2:4" ht="12.75">
      <c r="B46" s="61" t="s">
        <v>75</v>
      </c>
      <c r="C46" s="69">
        <v>50000</v>
      </c>
      <c r="D46" s="70">
        <v>1</v>
      </c>
    </row>
    <row r="47" spans="2:4" ht="12.75">
      <c r="B47" s="61" t="s">
        <v>335</v>
      </c>
      <c r="C47" s="69">
        <v>3000</v>
      </c>
      <c r="D47" s="70">
        <v>1</v>
      </c>
    </row>
    <row r="48" spans="2:4" ht="12.75">
      <c r="B48" s="61" t="s">
        <v>76</v>
      </c>
      <c r="C48" s="69">
        <v>45000</v>
      </c>
      <c r="D48" s="70">
        <v>1</v>
      </c>
    </row>
    <row r="49" spans="2:4" ht="12.75">
      <c r="B49" s="61" t="s">
        <v>77</v>
      </c>
      <c r="C49" s="69">
        <v>40000</v>
      </c>
      <c r="D49" s="70">
        <v>2</v>
      </c>
    </row>
    <row r="50" spans="2:4" ht="12.75">
      <c r="B50" s="61" t="s">
        <v>78</v>
      </c>
      <c r="C50" s="69">
        <v>25000</v>
      </c>
      <c r="D50" s="70">
        <v>1</v>
      </c>
    </row>
    <row r="51" spans="2:4" ht="25.5">
      <c r="B51" s="61" t="s">
        <v>79</v>
      </c>
      <c r="C51" s="69">
        <v>40000</v>
      </c>
      <c r="D51" s="70">
        <v>1</v>
      </c>
    </row>
    <row r="52" spans="2:4" ht="12.75">
      <c r="B52" s="234" t="s">
        <v>80</v>
      </c>
      <c r="C52" s="235" t="s">
        <v>30</v>
      </c>
      <c r="D52" s="236">
        <f>SUM(D46:D51)</f>
        <v>7</v>
      </c>
    </row>
    <row r="53" ht="12.75"/>
    <row r="54" spans="1:86" s="46" customFormat="1" ht="12.75">
      <c r="A54" s="182"/>
      <c r="B54" s="46" t="s">
        <v>83</v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</row>
    <row r="55" ht="12.75">
      <c r="B55" s="53" t="s">
        <v>303</v>
      </c>
    </row>
    <row r="56" ht="12.75">
      <c r="B56" s="53"/>
    </row>
    <row r="57" spans="1:2" ht="17.25" customHeight="1">
      <c r="A57" s="58" t="s">
        <v>306</v>
      </c>
      <c r="B57" s="63" t="s">
        <v>102</v>
      </c>
    </row>
    <row r="58" spans="1:6" s="73" customFormat="1" ht="32.25" customHeight="1">
      <c r="A58" s="183"/>
      <c r="B58" s="72" t="s">
        <v>84</v>
      </c>
      <c r="C58" s="72" t="s">
        <v>3</v>
      </c>
      <c r="D58" s="72" t="s">
        <v>85</v>
      </c>
      <c r="E58" s="72" t="s">
        <v>86</v>
      </c>
      <c r="F58" s="72" t="s">
        <v>87</v>
      </c>
    </row>
    <row r="59" spans="2:6" ht="12.75">
      <c r="B59" s="291" t="s">
        <v>103</v>
      </c>
      <c r="C59" s="291"/>
      <c r="D59" s="291"/>
      <c r="E59" s="291"/>
      <c r="F59" s="291"/>
    </row>
    <row r="60" spans="2:6" ht="12.75">
      <c r="B60" s="71" t="s">
        <v>88</v>
      </c>
      <c r="C60" s="60" t="s">
        <v>89</v>
      </c>
      <c r="D60" s="238">
        <v>0.518</v>
      </c>
      <c r="E60" s="226">
        <v>40</v>
      </c>
      <c r="F60" s="239">
        <f>D60*E60</f>
        <v>20.72</v>
      </c>
    </row>
    <row r="61" spans="2:6" ht="12.75">
      <c r="B61" s="71" t="s">
        <v>90</v>
      </c>
      <c r="C61" s="60" t="s">
        <v>89</v>
      </c>
      <c r="D61" s="238">
        <v>0.00518</v>
      </c>
      <c r="E61" s="226">
        <v>150</v>
      </c>
      <c r="F61" s="239">
        <f>D61*E61</f>
        <v>0.7769999999999999</v>
      </c>
    </row>
    <row r="62" spans="2:6" ht="12.75">
      <c r="B62" s="71" t="s">
        <v>91</v>
      </c>
      <c r="C62" s="60" t="s">
        <v>89</v>
      </c>
      <c r="D62" s="238">
        <v>0.00672</v>
      </c>
      <c r="E62" s="226">
        <v>15</v>
      </c>
      <c r="F62" s="239">
        <f>D62*E62</f>
        <v>0.1008</v>
      </c>
    </row>
    <row r="63" spans="2:6" ht="12.75">
      <c r="B63" s="71" t="s">
        <v>92</v>
      </c>
      <c r="C63" s="60" t="s">
        <v>89</v>
      </c>
      <c r="D63" s="238">
        <v>0.00084</v>
      </c>
      <c r="E63" s="226">
        <v>200</v>
      </c>
      <c r="F63" s="239">
        <f>D63*E63</f>
        <v>0.168</v>
      </c>
    </row>
    <row r="64" spans="2:6" ht="12.75">
      <c r="B64" s="61" t="s">
        <v>11</v>
      </c>
      <c r="C64" s="60"/>
      <c r="D64" s="226" t="s">
        <v>93</v>
      </c>
      <c r="E64" s="226" t="s">
        <v>94</v>
      </c>
      <c r="F64" s="237">
        <f>SUM(F60:F63)</f>
        <v>21.7658</v>
      </c>
    </row>
    <row r="65" spans="2:6" ht="12.75">
      <c r="B65" s="291" t="s">
        <v>104</v>
      </c>
      <c r="C65" s="291"/>
      <c r="D65" s="291"/>
      <c r="E65" s="291"/>
      <c r="F65" s="291"/>
    </row>
    <row r="66" spans="2:6" ht="12.75">
      <c r="B66" s="71" t="s">
        <v>95</v>
      </c>
      <c r="C66" s="60" t="s">
        <v>89</v>
      </c>
      <c r="D66" s="238">
        <v>0.222</v>
      </c>
      <c r="E66" s="226">
        <f>E60</f>
        <v>40</v>
      </c>
      <c r="F66" s="239">
        <f aca="true" t="shared" si="0" ref="F66:F71">D66*E66</f>
        <v>8.88</v>
      </c>
    </row>
    <row r="67" spans="2:6" ht="12.75">
      <c r="B67" s="71" t="s">
        <v>90</v>
      </c>
      <c r="C67" s="60" t="s">
        <v>89</v>
      </c>
      <c r="D67" s="238">
        <v>0.00222</v>
      </c>
      <c r="E67" s="226">
        <f>E61</f>
        <v>150</v>
      </c>
      <c r="F67" s="239">
        <f t="shared" si="0"/>
        <v>0.333</v>
      </c>
    </row>
    <row r="68" spans="2:6" ht="12.75">
      <c r="B68" s="71" t="s">
        <v>91</v>
      </c>
      <c r="C68" s="60" t="s">
        <v>89</v>
      </c>
      <c r="D68" s="238">
        <v>0.00288</v>
      </c>
      <c r="E68" s="226">
        <f>E62</f>
        <v>15</v>
      </c>
      <c r="F68" s="239">
        <f t="shared" si="0"/>
        <v>0.0432</v>
      </c>
    </row>
    <row r="69" spans="2:6" ht="12.75">
      <c r="B69" s="71" t="s">
        <v>96</v>
      </c>
      <c r="C69" s="60" t="s">
        <v>89</v>
      </c>
      <c r="D69" s="238">
        <v>0.00456</v>
      </c>
      <c r="E69" s="226">
        <v>100</v>
      </c>
      <c r="F69" s="239">
        <f t="shared" si="0"/>
        <v>0.45599999999999996</v>
      </c>
    </row>
    <row r="70" spans="2:6" ht="12.75">
      <c r="B70" s="71" t="s">
        <v>97</v>
      </c>
      <c r="C70" s="60" t="s">
        <v>89</v>
      </c>
      <c r="D70" s="238">
        <v>0.00036</v>
      </c>
      <c r="E70" s="226">
        <v>400</v>
      </c>
      <c r="F70" s="239">
        <f t="shared" si="0"/>
        <v>0.14400000000000002</v>
      </c>
    </row>
    <row r="71" spans="2:6" ht="12.75">
      <c r="B71" s="71" t="s">
        <v>98</v>
      </c>
      <c r="C71" s="60" t="s">
        <v>89</v>
      </c>
      <c r="D71" s="238">
        <v>0.00159</v>
      </c>
      <c r="E71" s="226">
        <v>450</v>
      </c>
      <c r="F71" s="239">
        <f t="shared" si="0"/>
        <v>0.7155</v>
      </c>
    </row>
    <row r="72" spans="2:6" ht="12.75">
      <c r="B72" s="61" t="s">
        <v>11</v>
      </c>
      <c r="C72" s="60"/>
      <c r="D72" s="60" t="s">
        <v>93</v>
      </c>
      <c r="E72" s="60" t="s">
        <v>94</v>
      </c>
      <c r="F72" s="74">
        <f>SUM(F66:F71)</f>
        <v>10.571700000000002</v>
      </c>
    </row>
    <row r="73" spans="2:6" ht="12.75">
      <c r="B73" s="291" t="s">
        <v>105</v>
      </c>
      <c r="C73" s="291"/>
      <c r="D73" s="291"/>
      <c r="E73" s="291"/>
      <c r="F73" s="291"/>
    </row>
    <row r="74" spans="2:6" ht="12.75">
      <c r="B74" s="71" t="s">
        <v>95</v>
      </c>
      <c r="C74" s="60" t="s">
        <v>89</v>
      </c>
      <c r="D74" s="238">
        <v>0.148</v>
      </c>
      <c r="E74" s="226">
        <f aca="true" t="shared" si="1" ref="E74:E79">E66</f>
        <v>40</v>
      </c>
      <c r="F74" s="239">
        <f aca="true" t="shared" si="2" ref="F74:F79">D74*E74</f>
        <v>5.92</v>
      </c>
    </row>
    <row r="75" spans="2:6" ht="12.75">
      <c r="B75" s="71" t="s">
        <v>90</v>
      </c>
      <c r="C75" s="60" t="s">
        <v>89</v>
      </c>
      <c r="D75" s="238">
        <v>0.00148</v>
      </c>
      <c r="E75" s="226">
        <f t="shared" si="1"/>
        <v>150</v>
      </c>
      <c r="F75" s="239">
        <f t="shared" si="2"/>
        <v>0.222</v>
      </c>
    </row>
    <row r="76" spans="2:6" ht="12.75">
      <c r="B76" s="71" t="s">
        <v>91</v>
      </c>
      <c r="C76" s="60" t="s">
        <v>89</v>
      </c>
      <c r="D76" s="238">
        <v>0.00192</v>
      </c>
      <c r="E76" s="226">
        <f t="shared" si="1"/>
        <v>15</v>
      </c>
      <c r="F76" s="239">
        <f t="shared" si="2"/>
        <v>0.0288</v>
      </c>
    </row>
    <row r="77" spans="2:6" ht="12.75">
      <c r="B77" s="71" t="s">
        <v>96</v>
      </c>
      <c r="C77" s="60" t="s">
        <v>89</v>
      </c>
      <c r="D77" s="238">
        <v>0.00304</v>
      </c>
      <c r="E77" s="226">
        <f t="shared" si="1"/>
        <v>100</v>
      </c>
      <c r="F77" s="239">
        <f t="shared" si="2"/>
        <v>0.304</v>
      </c>
    </row>
    <row r="78" spans="2:6" ht="12.75">
      <c r="B78" s="71" t="s">
        <v>97</v>
      </c>
      <c r="C78" s="60" t="s">
        <v>89</v>
      </c>
      <c r="D78" s="238">
        <v>0.00024</v>
      </c>
      <c r="E78" s="226">
        <f t="shared" si="1"/>
        <v>400</v>
      </c>
      <c r="F78" s="239">
        <f t="shared" si="2"/>
        <v>0.096</v>
      </c>
    </row>
    <row r="79" spans="2:6" ht="12.75">
      <c r="B79" s="71" t="s">
        <v>99</v>
      </c>
      <c r="C79" s="60" t="s">
        <v>89</v>
      </c>
      <c r="D79" s="238">
        <v>0.00106</v>
      </c>
      <c r="E79" s="226">
        <f t="shared" si="1"/>
        <v>450</v>
      </c>
      <c r="F79" s="239">
        <f t="shared" si="2"/>
        <v>0.477</v>
      </c>
    </row>
    <row r="80" spans="2:6" ht="12.75">
      <c r="B80" s="61" t="s">
        <v>11</v>
      </c>
      <c r="C80" s="60"/>
      <c r="D80" s="226" t="s">
        <v>100</v>
      </c>
      <c r="E80" s="226" t="s">
        <v>93</v>
      </c>
      <c r="F80" s="237">
        <f>SUM(F74:F79)</f>
        <v>7.047800000000001</v>
      </c>
    </row>
    <row r="81" ht="12.75"/>
    <row r="82" spans="1:86" s="46" customFormat="1" ht="12" customHeight="1">
      <c r="A82" s="182"/>
      <c r="B82" s="46" t="s">
        <v>148</v>
      </c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</row>
    <row r="83" ht="12.75">
      <c r="B83" s="53" t="s">
        <v>303</v>
      </c>
    </row>
    <row r="84" ht="12.75">
      <c r="B84" s="53"/>
    </row>
    <row r="85" spans="1:2" ht="17.25" customHeight="1">
      <c r="A85" s="58" t="s">
        <v>307</v>
      </c>
      <c r="B85" s="63" t="s">
        <v>106</v>
      </c>
    </row>
    <row r="86" spans="2:5" ht="25.5">
      <c r="B86" s="60" t="s">
        <v>107</v>
      </c>
      <c r="C86" s="60" t="s">
        <v>108</v>
      </c>
      <c r="D86" s="60" t="s">
        <v>109</v>
      </c>
      <c r="E86" s="60" t="s">
        <v>146</v>
      </c>
    </row>
    <row r="87" spans="2:5" ht="12.75">
      <c r="B87" s="292" t="s">
        <v>110</v>
      </c>
      <c r="C87" s="292"/>
      <c r="D87" s="292"/>
      <c r="E87" s="292"/>
    </row>
    <row r="88" spans="2:5" ht="38.25">
      <c r="B88" s="61" t="s">
        <v>111</v>
      </c>
      <c r="C88" s="227">
        <v>1</v>
      </c>
      <c r="D88" s="227">
        <v>1327930</v>
      </c>
      <c r="E88" s="230">
        <f>C88*D88/1000</f>
        <v>1327.93</v>
      </c>
    </row>
    <row r="89" spans="2:5" ht="12.75">
      <c r="B89" s="61" t="s">
        <v>112</v>
      </c>
      <c r="C89" s="227">
        <v>1</v>
      </c>
      <c r="D89" s="227">
        <v>28355</v>
      </c>
      <c r="E89" s="230">
        <f aca="true" t="shared" si="3" ref="E89:E96">C89*D89/1000</f>
        <v>28.355</v>
      </c>
    </row>
    <row r="90" spans="2:5" ht="12.75">
      <c r="B90" s="61" t="s">
        <v>113</v>
      </c>
      <c r="C90" s="227">
        <v>1</v>
      </c>
      <c r="D90" s="227">
        <v>124838</v>
      </c>
      <c r="E90" s="230">
        <f t="shared" si="3"/>
        <v>124.838</v>
      </c>
    </row>
    <row r="91" spans="2:5" ht="25.5">
      <c r="B91" s="61" t="s">
        <v>114</v>
      </c>
      <c r="C91" s="227">
        <v>1</v>
      </c>
      <c r="D91" s="227">
        <v>415140</v>
      </c>
      <c r="E91" s="230">
        <f t="shared" si="3"/>
        <v>415.14</v>
      </c>
    </row>
    <row r="92" spans="2:5" ht="38.25">
      <c r="B92" s="61" t="s">
        <v>115</v>
      </c>
      <c r="C92" s="227">
        <v>1</v>
      </c>
      <c r="D92" s="227">
        <v>426610</v>
      </c>
      <c r="E92" s="230">
        <f t="shared" si="3"/>
        <v>426.61</v>
      </c>
    </row>
    <row r="93" spans="2:5" ht="25.5">
      <c r="B93" s="61" t="s">
        <v>116</v>
      </c>
      <c r="C93" s="227">
        <v>54</v>
      </c>
      <c r="D93" s="227">
        <v>1430</v>
      </c>
      <c r="E93" s="230">
        <f t="shared" si="3"/>
        <v>77.22</v>
      </c>
    </row>
    <row r="94" spans="2:5" ht="12.75">
      <c r="B94" s="61" t="s">
        <v>117</v>
      </c>
      <c r="C94" s="227">
        <v>60</v>
      </c>
      <c r="D94" s="227">
        <v>1100</v>
      </c>
      <c r="E94" s="230">
        <f t="shared" si="3"/>
        <v>66</v>
      </c>
    </row>
    <row r="95" spans="2:5" ht="12.75">
      <c r="B95" s="61" t="s">
        <v>118</v>
      </c>
      <c r="C95" s="227">
        <v>10</v>
      </c>
      <c r="D95" s="227">
        <v>1000</v>
      </c>
      <c r="E95" s="230">
        <f t="shared" si="3"/>
        <v>10</v>
      </c>
    </row>
    <row r="96" spans="2:5" ht="12.75">
      <c r="B96" s="61" t="s">
        <v>119</v>
      </c>
      <c r="C96" s="227">
        <v>10</v>
      </c>
      <c r="D96" s="227">
        <v>1000</v>
      </c>
      <c r="E96" s="230">
        <f t="shared" si="3"/>
        <v>10</v>
      </c>
    </row>
    <row r="97" spans="2:5" ht="12.75">
      <c r="B97" s="292" t="s">
        <v>120</v>
      </c>
      <c r="C97" s="292"/>
      <c r="D97" s="292"/>
      <c r="E97" s="292"/>
    </row>
    <row r="98" spans="2:5" ht="12.75">
      <c r="B98" s="61" t="s">
        <v>121</v>
      </c>
      <c r="C98" s="228">
        <v>1</v>
      </c>
      <c r="D98" s="229">
        <v>59000</v>
      </c>
      <c r="E98" s="231">
        <f>D98*C98/1000</f>
        <v>59</v>
      </c>
    </row>
    <row r="99" spans="2:5" ht="12.75">
      <c r="B99" s="61" t="s">
        <v>122</v>
      </c>
      <c r="C99" s="228">
        <v>1</v>
      </c>
      <c r="D99" s="229">
        <v>10831</v>
      </c>
      <c r="E99" s="231">
        <f aca="true" t="shared" si="4" ref="E99:E119">D99*C99/1000</f>
        <v>10.831</v>
      </c>
    </row>
    <row r="100" spans="2:5" ht="25.5">
      <c r="B100" s="61" t="s">
        <v>123</v>
      </c>
      <c r="C100" s="228">
        <v>1</v>
      </c>
      <c r="D100" s="229">
        <v>3992</v>
      </c>
      <c r="E100" s="231">
        <f t="shared" si="4"/>
        <v>3.992</v>
      </c>
    </row>
    <row r="101" spans="2:5" ht="25.5">
      <c r="B101" s="61" t="s">
        <v>124</v>
      </c>
      <c r="C101" s="228">
        <v>1</v>
      </c>
      <c r="D101" s="229">
        <v>8083</v>
      </c>
      <c r="E101" s="231">
        <f t="shared" si="4"/>
        <v>8.083</v>
      </c>
    </row>
    <row r="102" spans="2:5" ht="12.75">
      <c r="B102" s="61" t="s">
        <v>125</v>
      </c>
      <c r="C102" s="228">
        <v>1</v>
      </c>
      <c r="D102" s="229">
        <v>23308</v>
      </c>
      <c r="E102" s="231">
        <f t="shared" si="4"/>
        <v>23.308</v>
      </c>
    </row>
    <row r="103" spans="2:5" ht="25.5">
      <c r="B103" s="61" t="s">
        <v>126</v>
      </c>
      <c r="C103" s="228">
        <v>3</v>
      </c>
      <c r="D103" s="229">
        <v>5497</v>
      </c>
      <c r="E103" s="231">
        <f t="shared" si="4"/>
        <v>16.491</v>
      </c>
    </row>
    <row r="104" spans="2:5" ht="12.75">
      <c r="B104" s="61" t="s">
        <v>127</v>
      </c>
      <c r="C104" s="228">
        <v>3</v>
      </c>
      <c r="D104" s="229">
        <v>10912</v>
      </c>
      <c r="E104" s="231">
        <f t="shared" si="4"/>
        <v>32.736</v>
      </c>
    </row>
    <row r="105" spans="2:5" ht="25.5">
      <c r="B105" s="61" t="s">
        <v>128</v>
      </c>
      <c r="C105" s="228">
        <v>3</v>
      </c>
      <c r="D105" s="229">
        <v>40700</v>
      </c>
      <c r="E105" s="231">
        <f t="shared" si="4"/>
        <v>122.1</v>
      </c>
    </row>
    <row r="106" spans="2:5" ht="25.5">
      <c r="B106" s="61" t="s">
        <v>129</v>
      </c>
      <c r="C106" s="228">
        <v>1</v>
      </c>
      <c r="D106" s="229">
        <v>22200</v>
      </c>
      <c r="E106" s="231">
        <f t="shared" si="4"/>
        <v>22.2</v>
      </c>
    </row>
    <row r="107" spans="2:5" ht="12.75">
      <c r="B107" s="61" t="s">
        <v>130</v>
      </c>
      <c r="C107" s="228">
        <v>2</v>
      </c>
      <c r="D107" s="229">
        <v>10000</v>
      </c>
      <c r="E107" s="231">
        <f t="shared" si="4"/>
        <v>20</v>
      </c>
    </row>
    <row r="108" spans="2:5" ht="12.75">
      <c r="B108" s="61" t="s">
        <v>131</v>
      </c>
      <c r="C108" s="228">
        <v>1</v>
      </c>
      <c r="D108" s="229">
        <v>60000</v>
      </c>
      <c r="E108" s="231">
        <f t="shared" si="4"/>
        <v>60</v>
      </c>
    </row>
    <row r="109" spans="2:5" ht="12.75">
      <c r="B109" s="61" t="s">
        <v>132</v>
      </c>
      <c r="C109" s="228">
        <v>1</v>
      </c>
      <c r="D109" s="229">
        <v>35000</v>
      </c>
      <c r="E109" s="231">
        <f t="shared" si="4"/>
        <v>35</v>
      </c>
    </row>
    <row r="110" spans="2:5" ht="12.75">
      <c r="B110" s="61" t="s">
        <v>133</v>
      </c>
      <c r="C110" s="228">
        <v>1</v>
      </c>
      <c r="D110" s="229">
        <v>80000</v>
      </c>
      <c r="E110" s="231">
        <f t="shared" si="4"/>
        <v>80</v>
      </c>
    </row>
    <row r="111" spans="2:5" ht="12.75">
      <c r="B111" s="61" t="s">
        <v>134</v>
      </c>
      <c r="C111" s="228">
        <v>10</v>
      </c>
      <c r="D111" s="229">
        <v>6000</v>
      </c>
      <c r="E111" s="231">
        <f t="shared" si="4"/>
        <v>60</v>
      </c>
    </row>
    <row r="112" spans="2:5" ht="25.5">
      <c r="B112" s="61" t="s">
        <v>135</v>
      </c>
      <c r="C112" s="228">
        <v>1</v>
      </c>
      <c r="D112" s="229">
        <v>60000</v>
      </c>
      <c r="E112" s="231">
        <f t="shared" si="4"/>
        <v>60</v>
      </c>
    </row>
    <row r="113" spans="2:5" ht="12.75">
      <c r="B113" s="61" t="s">
        <v>136</v>
      </c>
      <c r="C113" s="228">
        <v>3</v>
      </c>
      <c r="D113" s="229">
        <v>55000</v>
      </c>
      <c r="E113" s="231">
        <f t="shared" si="4"/>
        <v>165</v>
      </c>
    </row>
    <row r="114" spans="2:5" ht="12.75">
      <c r="B114" s="61" t="s">
        <v>137</v>
      </c>
      <c r="C114" s="228">
        <v>4</v>
      </c>
      <c r="D114" s="228">
        <v>3000</v>
      </c>
      <c r="E114" s="231">
        <f t="shared" si="4"/>
        <v>12</v>
      </c>
    </row>
    <row r="115" spans="2:5" ht="25.5">
      <c r="B115" s="61" t="s">
        <v>138</v>
      </c>
      <c r="C115" s="228">
        <v>1</v>
      </c>
      <c r="D115" s="229">
        <v>20000</v>
      </c>
      <c r="E115" s="231">
        <f t="shared" si="4"/>
        <v>20</v>
      </c>
    </row>
    <row r="116" spans="2:5" ht="12.75">
      <c r="B116" s="61" t="s">
        <v>139</v>
      </c>
      <c r="C116" s="228">
        <v>2</v>
      </c>
      <c r="D116" s="229">
        <v>200000</v>
      </c>
      <c r="E116" s="231">
        <f t="shared" si="4"/>
        <v>400</v>
      </c>
    </row>
    <row r="117" spans="2:5" ht="12.75">
      <c r="B117" s="61" t="s">
        <v>140</v>
      </c>
      <c r="C117" s="228">
        <v>1</v>
      </c>
      <c r="D117" s="229">
        <v>30000</v>
      </c>
      <c r="E117" s="231">
        <f t="shared" si="4"/>
        <v>30</v>
      </c>
    </row>
    <row r="118" spans="2:5" ht="12.75">
      <c r="B118" s="61" t="s">
        <v>141</v>
      </c>
      <c r="C118" s="228">
        <v>1</v>
      </c>
      <c r="D118" s="229">
        <v>45000</v>
      </c>
      <c r="E118" s="231">
        <f t="shared" si="4"/>
        <v>45</v>
      </c>
    </row>
    <row r="119" spans="2:5" ht="12.75">
      <c r="B119" s="61" t="s">
        <v>142</v>
      </c>
      <c r="C119" s="228">
        <v>3</v>
      </c>
      <c r="D119" s="229">
        <v>40000</v>
      </c>
      <c r="E119" s="231">
        <f t="shared" si="4"/>
        <v>120</v>
      </c>
    </row>
    <row r="120" spans="2:5" ht="12.75">
      <c r="B120" s="282" t="s">
        <v>144</v>
      </c>
      <c r="C120" s="283"/>
      <c r="D120" s="284"/>
      <c r="E120" s="225">
        <v>246.951</v>
      </c>
    </row>
    <row r="121" spans="2:5" ht="12.75">
      <c r="B121" s="282" t="s">
        <v>145</v>
      </c>
      <c r="C121" s="283"/>
      <c r="D121" s="284"/>
      <c r="E121" s="232">
        <v>1.3</v>
      </c>
    </row>
    <row r="122" spans="2:5" ht="12.75">
      <c r="B122" s="282" t="s">
        <v>147</v>
      </c>
      <c r="C122" s="283"/>
      <c r="D122" s="284"/>
      <c r="E122" s="69">
        <f>E120*E121</f>
        <v>321.0363</v>
      </c>
    </row>
    <row r="123" spans="2:5" ht="12.75">
      <c r="B123" s="293" t="s">
        <v>143</v>
      </c>
      <c r="C123" s="293"/>
      <c r="D123" s="293"/>
      <c r="E123" s="247">
        <f>SUM(E98:E119,E122)</f>
        <v>1726.7773</v>
      </c>
    </row>
    <row r="124" ht="12.75"/>
    <row r="125" spans="1:86" s="46" customFormat="1" ht="12" customHeight="1">
      <c r="A125" s="182"/>
      <c r="B125" s="46" t="s">
        <v>149</v>
      </c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</row>
    <row r="126" ht="12.75">
      <c r="B126" s="53" t="s">
        <v>302</v>
      </c>
    </row>
    <row r="127" ht="12.75">
      <c r="B127" s="53"/>
    </row>
    <row r="128" spans="1:5" ht="12.75">
      <c r="A128" s="58" t="s">
        <v>329</v>
      </c>
      <c r="B128" s="64" t="s">
        <v>272</v>
      </c>
      <c r="C128" s="64"/>
      <c r="D128" s="64"/>
      <c r="E128" s="64"/>
    </row>
    <row r="129" spans="2:5" ht="12.75">
      <c r="B129" s="147" t="s">
        <v>38</v>
      </c>
      <c r="C129" s="147" t="s">
        <v>4</v>
      </c>
      <c r="D129" s="147" t="s">
        <v>39</v>
      </c>
      <c r="E129" s="147" t="s">
        <v>37</v>
      </c>
    </row>
    <row r="130" spans="2:5" ht="12.75">
      <c r="B130" s="149">
        <v>0.25</v>
      </c>
      <c r="C130" s="149">
        <v>0.25</v>
      </c>
      <c r="D130" s="149">
        <f>C130</f>
        <v>0.25</v>
      </c>
      <c r="E130" s="149">
        <f>D130</f>
        <v>0.25</v>
      </c>
    </row>
    <row r="131" spans="2:5" ht="12.75">
      <c r="B131" s="155"/>
      <c r="C131" s="155"/>
      <c r="D131" s="155"/>
      <c r="E131" s="155"/>
    </row>
    <row r="132" spans="1:2" s="64" customFormat="1" ht="12.75">
      <c r="A132" s="148" t="s">
        <v>330</v>
      </c>
      <c r="B132" s="64" t="s">
        <v>270</v>
      </c>
    </row>
    <row r="133" spans="1:5" s="64" customFormat="1" ht="12.75">
      <c r="A133" s="148"/>
      <c r="B133" s="147" t="s">
        <v>266</v>
      </c>
      <c r="C133" s="147" t="s">
        <v>267</v>
      </c>
      <c r="D133" s="147" t="s">
        <v>268</v>
      </c>
      <c r="E133" s="147" t="s">
        <v>269</v>
      </c>
    </row>
    <row r="134" spans="2:5" s="148" customFormat="1" ht="12.75">
      <c r="B134" s="149">
        <v>0.05</v>
      </c>
      <c r="C134" s="149">
        <v>0.02</v>
      </c>
      <c r="D134" s="149">
        <v>0.02</v>
      </c>
      <c r="E134" s="149">
        <v>0.02</v>
      </c>
    </row>
    <row r="135" ht="12.75">
      <c r="B135" s="53"/>
    </row>
    <row r="136" spans="1:2" ht="17.25" customHeight="1">
      <c r="A136" s="58" t="s">
        <v>331</v>
      </c>
      <c r="B136" s="75" t="s">
        <v>150</v>
      </c>
    </row>
    <row r="137" spans="1:15" s="64" customFormat="1" ht="59.25" customHeight="1">
      <c r="A137" s="148"/>
      <c r="B137" s="60" t="s">
        <v>2</v>
      </c>
      <c r="C137" s="76" t="s">
        <v>12</v>
      </c>
      <c r="D137" s="76" t="s">
        <v>13</v>
      </c>
      <c r="E137" s="76" t="s">
        <v>14</v>
      </c>
      <c r="F137" s="76" t="s">
        <v>15</v>
      </c>
      <c r="G137" s="76" t="s">
        <v>16</v>
      </c>
      <c r="H137" s="76" t="s">
        <v>17</v>
      </c>
      <c r="I137" s="76" t="s">
        <v>18</v>
      </c>
      <c r="J137" s="76" t="s">
        <v>19</v>
      </c>
      <c r="K137" s="76" t="s">
        <v>20</v>
      </c>
      <c r="L137" s="76" t="s">
        <v>21</v>
      </c>
      <c r="M137" s="76" t="s">
        <v>22</v>
      </c>
      <c r="N137" s="76" t="s">
        <v>23</v>
      </c>
      <c r="O137" s="77" t="s">
        <v>24</v>
      </c>
    </row>
    <row r="138" spans="1:15" s="64" customFormat="1" ht="25.5">
      <c r="A138" s="148"/>
      <c r="B138" s="61" t="s">
        <v>151</v>
      </c>
      <c r="C138" s="62">
        <v>31</v>
      </c>
      <c r="D138" s="62">
        <v>28</v>
      </c>
      <c r="E138" s="62">
        <v>31</v>
      </c>
      <c r="F138" s="62">
        <v>30</v>
      </c>
      <c r="G138" s="62">
        <v>31</v>
      </c>
      <c r="H138" s="62">
        <v>30</v>
      </c>
      <c r="I138" s="62">
        <v>31</v>
      </c>
      <c r="J138" s="62">
        <v>31</v>
      </c>
      <c r="K138" s="62">
        <v>30</v>
      </c>
      <c r="L138" s="62">
        <v>31</v>
      </c>
      <c r="M138" s="62">
        <v>30</v>
      </c>
      <c r="N138" s="62">
        <v>31</v>
      </c>
      <c r="O138" s="233">
        <f>SUM(C138:N138)</f>
        <v>365</v>
      </c>
    </row>
    <row r="139" spans="1:15" s="64" customFormat="1" ht="25.5">
      <c r="A139" s="148"/>
      <c r="B139" s="61" t="s">
        <v>152</v>
      </c>
      <c r="C139" s="62">
        <v>24</v>
      </c>
      <c r="D139" s="62">
        <v>23</v>
      </c>
      <c r="E139" s="62">
        <v>26</v>
      </c>
      <c r="F139" s="62">
        <v>26</v>
      </c>
      <c r="G139" s="62">
        <v>26</v>
      </c>
      <c r="H139" s="62">
        <v>26</v>
      </c>
      <c r="I139" s="62">
        <v>26</v>
      </c>
      <c r="J139" s="62">
        <v>27</v>
      </c>
      <c r="K139" s="62">
        <v>26</v>
      </c>
      <c r="L139" s="62">
        <v>26</v>
      </c>
      <c r="M139" s="62">
        <v>26</v>
      </c>
      <c r="N139" s="62">
        <v>26</v>
      </c>
      <c r="O139" s="233">
        <f>SUM(C139:N139)</f>
        <v>308</v>
      </c>
    </row>
    <row r="140" ht="12.75"/>
    <row r="141" spans="1:2" ht="15">
      <c r="A141" s="58" t="s">
        <v>332</v>
      </c>
      <c r="B141" s="75" t="s">
        <v>153</v>
      </c>
    </row>
    <row r="142" spans="2:7" ht="37.5" customHeight="1">
      <c r="B142" s="285" t="s">
        <v>154</v>
      </c>
      <c r="C142" s="287" t="s">
        <v>155</v>
      </c>
      <c r="D142" s="287" t="s">
        <v>156</v>
      </c>
      <c r="E142" s="287"/>
      <c r="F142" s="287" t="s">
        <v>157</v>
      </c>
      <c r="G142" s="287"/>
    </row>
    <row r="143" spans="2:7" ht="15">
      <c r="B143" s="286"/>
      <c r="C143" s="287"/>
      <c r="D143" s="66" t="s">
        <v>158</v>
      </c>
      <c r="E143" s="66" t="s">
        <v>159</v>
      </c>
      <c r="F143" s="66" t="s">
        <v>158</v>
      </c>
      <c r="G143" s="66" t="s">
        <v>159</v>
      </c>
    </row>
    <row r="144" spans="2:9" ht="15">
      <c r="B144" s="67" t="s">
        <v>160</v>
      </c>
      <c r="C144" s="68">
        <v>40</v>
      </c>
      <c r="D144" s="68">
        <v>180</v>
      </c>
      <c r="E144" s="81">
        <f>D144*$O$139</f>
        <v>55440</v>
      </c>
      <c r="F144" s="81">
        <f>D144*C144/1000</f>
        <v>7.2</v>
      </c>
      <c r="G144" s="81">
        <f>E144*C144/1000</f>
        <v>2217.6</v>
      </c>
      <c r="I144" s="45">
        <f>D144*0.7</f>
        <v>125.99999999999999</v>
      </c>
    </row>
    <row r="145" spans="2:9" ht="15">
      <c r="B145" s="67" t="s">
        <v>104</v>
      </c>
      <c r="C145" s="68">
        <v>50</v>
      </c>
      <c r="D145" s="68">
        <v>200</v>
      </c>
      <c r="E145" s="81">
        <f>D145*$O$139</f>
        <v>61600</v>
      </c>
      <c r="F145" s="81">
        <f>D145*C145/1000</f>
        <v>10</v>
      </c>
      <c r="G145" s="81">
        <f>E145*C145/1000</f>
        <v>3080</v>
      </c>
      <c r="I145" s="45">
        <f>D145*0.3</f>
        <v>60</v>
      </c>
    </row>
    <row r="146" spans="2:9" ht="15">
      <c r="B146" s="89" t="s">
        <v>161</v>
      </c>
      <c r="C146" s="90">
        <v>25</v>
      </c>
      <c r="D146" s="90">
        <v>1100</v>
      </c>
      <c r="E146" s="91">
        <f>D146*$O$139</f>
        <v>338800</v>
      </c>
      <c r="F146" s="91">
        <f>D146*C146/1000</f>
        <v>27.5</v>
      </c>
      <c r="G146" s="91">
        <f>E146*C146/1000</f>
        <v>8470</v>
      </c>
      <c r="I146" s="45">
        <f>D146*0.2</f>
        <v>220</v>
      </c>
    </row>
    <row r="147" spans="2:9" ht="15">
      <c r="B147" s="79" t="s">
        <v>11</v>
      </c>
      <c r="C147" s="80" t="s">
        <v>36</v>
      </c>
      <c r="D147" s="92">
        <f>SUM(D144:D146)</f>
        <v>1480</v>
      </c>
      <c r="E147" s="92">
        <f>SUM(E144:E146)</f>
        <v>455840</v>
      </c>
      <c r="F147" s="92">
        <f>SUM(F144:F146)</f>
        <v>44.7</v>
      </c>
      <c r="G147" s="92">
        <f>SUM(G144:G146)</f>
        <v>13767.6</v>
      </c>
      <c r="I147" s="45">
        <f>SUM(I144:I146)</f>
        <v>406</v>
      </c>
    </row>
    <row r="148" spans="2:7" ht="15">
      <c r="B148" s="87"/>
      <c r="C148" s="88"/>
      <c r="D148" s="112"/>
      <c r="E148" s="112"/>
      <c r="F148" s="112"/>
      <c r="G148" s="112"/>
    </row>
    <row r="149" spans="1:86" s="46" customFormat="1" ht="12" customHeight="1">
      <c r="A149" s="182"/>
      <c r="B149" s="46" t="s">
        <v>162</v>
      </c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</row>
    <row r="150" ht="12.75">
      <c r="B150" s="53" t="s">
        <v>301</v>
      </c>
    </row>
    <row r="151" ht="12.75">
      <c r="B151" s="53"/>
    </row>
    <row r="152" spans="1:2" ht="17.25" customHeight="1">
      <c r="A152" s="58" t="s">
        <v>333</v>
      </c>
      <c r="B152" s="63" t="s">
        <v>357</v>
      </c>
    </row>
    <row r="153" spans="2:7" ht="36.75" customHeight="1">
      <c r="B153" s="277" t="s">
        <v>154</v>
      </c>
      <c r="C153" s="277" t="s">
        <v>163</v>
      </c>
      <c r="D153" s="277" t="s">
        <v>156</v>
      </c>
      <c r="E153" s="277"/>
      <c r="F153" s="277" t="s">
        <v>164</v>
      </c>
      <c r="G153" s="277"/>
    </row>
    <row r="154" spans="2:7" ht="15">
      <c r="B154" s="277"/>
      <c r="C154" s="277"/>
      <c r="D154" s="78" t="s">
        <v>158</v>
      </c>
      <c r="E154" s="78" t="s">
        <v>159</v>
      </c>
      <c r="F154" s="78" t="s">
        <v>158</v>
      </c>
      <c r="G154" s="78" t="s">
        <v>159</v>
      </c>
    </row>
    <row r="155" spans="2:7" ht="15">
      <c r="B155" s="79" t="s">
        <v>160</v>
      </c>
      <c r="C155" s="82">
        <f>F64</f>
        <v>21.7658</v>
      </c>
      <c r="D155" s="83">
        <f>D144</f>
        <v>180</v>
      </c>
      <c r="E155" s="92">
        <f>D155*$O$139</f>
        <v>55440</v>
      </c>
      <c r="F155" s="92">
        <f>D155*C155/1000</f>
        <v>3.9178439999999997</v>
      </c>
      <c r="G155" s="92">
        <f>E155*C155/1000</f>
        <v>1206.6959519999998</v>
      </c>
    </row>
    <row r="156" spans="2:7" ht="15">
      <c r="B156" s="79" t="s">
        <v>104</v>
      </c>
      <c r="C156" s="82">
        <f>F72</f>
        <v>10.571700000000002</v>
      </c>
      <c r="D156" s="83">
        <f>D145</f>
        <v>200</v>
      </c>
      <c r="E156" s="92">
        <f>D156*$O$139</f>
        <v>61600</v>
      </c>
      <c r="F156" s="92">
        <f>D156*C156/1000</f>
        <v>2.1143400000000003</v>
      </c>
      <c r="G156" s="92">
        <f>E156*C156/1000</f>
        <v>651.2167200000001</v>
      </c>
    </row>
    <row r="157" spans="2:7" ht="15">
      <c r="B157" s="79" t="s">
        <v>161</v>
      </c>
      <c r="C157" s="82">
        <f>F80</f>
        <v>7.047800000000001</v>
      </c>
      <c r="D157" s="83">
        <f>D146</f>
        <v>1100</v>
      </c>
      <c r="E157" s="92">
        <f>D157*$O$139</f>
        <v>338800</v>
      </c>
      <c r="F157" s="92">
        <f>D157*C157/1000</f>
        <v>7.752580000000002</v>
      </c>
      <c r="G157" s="92">
        <f>E157*C157/1000</f>
        <v>2387.7946400000005</v>
      </c>
    </row>
    <row r="158" spans="2:7" ht="15">
      <c r="B158" s="79" t="s">
        <v>11</v>
      </c>
      <c r="C158" s="82" t="s">
        <v>36</v>
      </c>
      <c r="D158" s="92">
        <f>SUM(D155:D157)</f>
        <v>1480</v>
      </c>
      <c r="E158" s="92">
        <f>SUM(E155:E157)</f>
        <v>455840</v>
      </c>
      <c r="F158" s="92">
        <f>SUM(F155:F157)</f>
        <v>13.784764000000003</v>
      </c>
      <c r="G158" s="92">
        <f>SUM(G155:G157)</f>
        <v>4245.7073120000005</v>
      </c>
    </row>
    <row r="159" ht="12.75"/>
    <row r="160" spans="1:2" ht="15">
      <c r="A160" s="58" t="s">
        <v>337</v>
      </c>
      <c r="B160" s="63" t="s">
        <v>358</v>
      </c>
    </row>
    <row r="161" spans="2:6" ht="38.25">
      <c r="B161" s="84" t="s">
        <v>72</v>
      </c>
      <c r="C161" s="84" t="s">
        <v>73</v>
      </c>
      <c r="D161" s="84" t="s">
        <v>74</v>
      </c>
      <c r="E161" s="84" t="s">
        <v>165</v>
      </c>
      <c r="F161" s="84" t="s">
        <v>166</v>
      </c>
    </row>
    <row r="162" spans="2:6" ht="12.75">
      <c r="B162" s="85" t="str">
        <f aca="true" t="shared" si="5" ref="B162:D167">B46</f>
        <v>Руководитель</v>
      </c>
      <c r="C162" s="249">
        <f>C46</f>
        <v>50000</v>
      </c>
      <c r="D162" s="249">
        <f t="shared" si="5"/>
        <v>1</v>
      </c>
      <c r="E162" s="248">
        <f aca="true" t="shared" si="6" ref="E162:E167">C162*D162/1000*12</f>
        <v>600</v>
      </c>
      <c r="F162" s="250">
        <f>E162*1.302</f>
        <v>781.2</v>
      </c>
    </row>
    <row r="163" spans="2:6" ht="12.75">
      <c r="B163" s="85" t="str">
        <f t="shared" si="5"/>
        <v>Бухгалтер (аутсорсинг)</v>
      </c>
      <c r="C163" s="249">
        <f t="shared" si="5"/>
        <v>3000</v>
      </c>
      <c r="D163" s="249">
        <f t="shared" si="5"/>
        <v>1</v>
      </c>
      <c r="E163" s="248">
        <f t="shared" si="6"/>
        <v>36</v>
      </c>
      <c r="F163" s="250">
        <f>E163*1</f>
        <v>36</v>
      </c>
    </row>
    <row r="164" spans="2:6" ht="12.75">
      <c r="B164" s="85" t="str">
        <f t="shared" si="5"/>
        <v>Пекарь-технолог</v>
      </c>
      <c r="C164" s="249">
        <f t="shared" si="5"/>
        <v>45000</v>
      </c>
      <c r="D164" s="249">
        <f t="shared" si="5"/>
        <v>1</v>
      </c>
      <c r="E164" s="248">
        <f t="shared" si="6"/>
        <v>540</v>
      </c>
      <c r="F164" s="250">
        <f>E164*1.302</f>
        <v>703.08</v>
      </c>
    </row>
    <row r="165" spans="2:6" ht="12.75">
      <c r="B165" s="85" t="str">
        <f t="shared" si="5"/>
        <v>Помощник пекаря</v>
      </c>
      <c r="C165" s="249">
        <f t="shared" si="5"/>
        <v>40000</v>
      </c>
      <c r="D165" s="249">
        <v>3</v>
      </c>
      <c r="E165" s="248">
        <f t="shared" si="6"/>
        <v>1440</v>
      </c>
      <c r="F165" s="250">
        <f>E165*1.302</f>
        <v>1874.88</v>
      </c>
    </row>
    <row r="166" spans="2:6" ht="12.75">
      <c r="B166" s="85" t="str">
        <f t="shared" si="5"/>
        <v>Разнорабочий</v>
      </c>
      <c r="C166" s="249">
        <f t="shared" si="5"/>
        <v>25000</v>
      </c>
      <c r="D166" s="249">
        <f t="shared" si="5"/>
        <v>1</v>
      </c>
      <c r="E166" s="248">
        <f t="shared" si="6"/>
        <v>300</v>
      </c>
      <c r="F166" s="250">
        <f>E166*1.302</f>
        <v>390.6</v>
      </c>
    </row>
    <row r="167" spans="2:6" ht="25.5">
      <c r="B167" s="85" t="str">
        <f t="shared" si="5"/>
        <v>Продавец торгового зала (менеджер по сбыту)</v>
      </c>
      <c r="C167" s="249">
        <v>45000</v>
      </c>
      <c r="D167" s="249">
        <f t="shared" si="5"/>
        <v>1</v>
      </c>
      <c r="E167" s="248">
        <f t="shared" si="6"/>
        <v>540</v>
      </c>
      <c r="F167" s="250">
        <f>E167*1.302</f>
        <v>703.08</v>
      </c>
    </row>
    <row r="168" spans="2:6" ht="12.75">
      <c r="B168" s="85" t="s">
        <v>80</v>
      </c>
      <c r="C168" s="248" t="s">
        <v>30</v>
      </c>
      <c r="D168" s="249">
        <f>SUM(D162:D167)</f>
        <v>8</v>
      </c>
      <c r="E168" s="249">
        <f>SUM(E162:E167)</f>
        <v>3456</v>
      </c>
      <c r="F168" s="249">
        <f>SUM(F162:F167)</f>
        <v>4488.84</v>
      </c>
    </row>
    <row r="169" ht="12.75"/>
    <row r="170" spans="1:2" ht="12.75">
      <c r="A170" s="58" t="s">
        <v>338</v>
      </c>
      <c r="B170" s="64" t="s">
        <v>359</v>
      </c>
    </row>
    <row r="171" spans="2:4" ht="12.75">
      <c r="B171" s="95" t="s">
        <v>2</v>
      </c>
      <c r="C171" s="278" t="s">
        <v>167</v>
      </c>
      <c r="D171" s="278"/>
    </row>
    <row r="172" spans="2:4" ht="24.75" customHeight="1">
      <c r="B172" s="96" t="s">
        <v>168</v>
      </c>
      <c r="C172" s="96">
        <v>1.25</v>
      </c>
      <c r="D172" s="96">
        <v>1.67</v>
      </c>
    </row>
    <row r="173" spans="2:4" ht="25.5">
      <c r="B173" s="96" t="s">
        <v>169</v>
      </c>
      <c r="C173" s="279">
        <v>400</v>
      </c>
      <c r="D173" s="279"/>
    </row>
    <row r="174" spans="2:4" ht="25.5">
      <c r="B174" s="96" t="s">
        <v>170</v>
      </c>
      <c r="C174" s="280">
        <f>O139</f>
        <v>308</v>
      </c>
      <c r="D174" s="280"/>
    </row>
    <row r="175" spans="2:4" ht="12.75">
      <c r="B175" s="96" t="s">
        <v>171</v>
      </c>
      <c r="C175" s="281">
        <f>D172*C173*C174</f>
        <v>205744</v>
      </c>
      <c r="D175" s="281"/>
    </row>
    <row r="176" spans="2:4" ht="12.75">
      <c r="B176" s="96" t="s">
        <v>172</v>
      </c>
      <c r="C176" s="279">
        <v>4.36</v>
      </c>
      <c r="D176" s="279"/>
    </row>
    <row r="177" spans="2:4" ht="12.75">
      <c r="B177" s="96" t="s">
        <v>173</v>
      </c>
      <c r="C177" s="276">
        <f>C176*C175/1000</f>
        <v>897.04384</v>
      </c>
      <c r="D177" s="276"/>
    </row>
    <row r="178" ht="12.75"/>
    <row r="179" spans="1:2" ht="15">
      <c r="A179" s="58" t="s">
        <v>339</v>
      </c>
      <c r="B179" s="75" t="s">
        <v>360</v>
      </c>
    </row>
    <row r="180" spans="2:9" ht="15">
      <c r="B180" s="262" t="s">
        <v>174</v>
      </c>
      <c r="C180" s="262"/>
      <c r="D180" s="262"/>
      <c r="E180" s="262"/>
      <c r="F180" s="133"/>
      <c r="G180" s="97"/>
      <c r="H180" s="97"/>
      <c r="I180" s="97"/>
    </row>
    <row r="181" spans="2:9" ht="15">
      <c r="B181" s="265" t="s">
        <v>169</v>
      </c>
      <c r="C181" s="265"/>
      <c r="D181" s="265"/>
      <c r="E181" s="240">
        <v>400</v>
      </c>
      <c r="F181" s="133"/>
      <c r="G181" s="97"/>
      <c r="H181" s="97"/>
      <c r="I181" s="97"/>
    </row>
    <row r="182" spans="2:9" ht="15">
      <c r="B182" s="265" t="s">
        <v>170</v>
      </c>
      <c r="C182" s="265"/>
      <c r="D182" s="265"/>
      <c r="E182" s="240">
        <f>O139</f>
        <v>308</v>
      </c>
      <c r="F182" s="133"/>
      <c r="G182" s="97"/>
      <c r="H182" s="97"/>
      <c r="I182" s="97"/>
    </row>
    <row r="183" spans="2:9" ht="15">
      <c r="B183" s="265" t="s">
        <v>175</v>
      </c>
      <c r="C183" s="265"/>
      <c r="D183" s="265"/>
      <c r="E183" s="224">
        <v>8</v>
      </c>
      <c r="F183" s="133"/>
      <c r="G183" s="97"/>
      <c r="H183" s="97"/>
      <c r="I183" s="97"/>
    </row>
    <row r="184" spans="2:9" ht="15">
      <c r="B184" s="265" t="s">
        <v>176</v>
      </c>
      <c r="C184" s="265"/>
      <c r="D184" s="265"/>
      <c r="E184" s="240">
        <f>D48+D49+D50+D51</f>
        <v>5</v>
      </c>
      <c r="F184" s="133"/>
      <c r="G184" s="97"/>
      <c r="H184" s="97"/>
      <c r="I184" s="97"/>
    </row>
    <row r="185" spans="2:9" ht="15">
      <c r="B185" s="265" t="s">
        <v>177</v>
      </c>
      <c r="C185" s="265"/>
      <c r="D185" s="265"/>
      <c r="E185" s="224">
        <v>57.07</v>
      </c>
      <c r="F185" s="133"/>
      <c r="G185" s="97"/>
      <c r="H185" s="97"/>
      <c r="I185" s="97"/>
    </row>
    <row r="186" spans="2:9" ht="15">
      <c r="B186" s="270" t="s">
        <v>178</v>
      </c>
      <c r="C186" s="270"/>
      <c r="D186" s="270"/>
      <c r="E186" s="241">
        <v>38.51</v>
      </c>
      <c r="F186" s="134"/>
      <c r="G186" s="135"/>
      <c r="H186" s="135"/>
      <c r="I186" s="135"/>
    </row>
    <row r="187" spans="2:9" ht="31.5" customHeight="1">
      <c r="B187" s="262" t="s">
        <v>179</v>
      </c>
      <c r="C187" s="262" t="s">
        <v>180</v>
      </c>
      <c r="D187" s="262"/>
      <c r="E187" s="262"/>
      <c r="F187" s="262" t="s">
        <v>181</v>
      </c>
      <c r="G187" s="262"/>
      <c r="H187" s="262" t="s">
        <v>182</v>
      </c>
      <c r="I187" s="262"/>
    </row>
    <row r="188" spans="2:9" ht="30">
      <c r="B188" s="262"/>
      <c r="C188" s="93" t="s">
        <v>183</v>
      </c>
      <c r="D188" s="262" t="s">
        <v>184</v>
      </c>
      <c r="E188" s="262"/>
      <c r="F188" s="93" t="s">
        <v>183</v>
      </c>
      <c r="G188" s="93" t="s">
        <v>185</v>
      </c>
      <c r="H188" s="93" t="s">
        <v>183</v>
      </c>
      <c r="I188" s="93" t="s">
        <v>185</v>
      </c>
    </row>
    <row r="189" spans="2:9" ht="15">
      <c r="B189" s="94" t="s">
        <v>186</v>
      </c>
      <c r="C189" s="93" t="s">
        <v>187</v>
      </c>
      <c r="D189" s="262" t="s">
        <v>188</v>
      </c>
      <c r="E189" s="262"/>
      <c r="F189" s="101">
        <f>0.6*E181*E182/1000</f>
        <v>73.92</v>
      </c>
      <c r="G189" s="101">
        <v>0</v>
      </c>
      <c r="H189" s="103">
        <f aca="true" t="shared" si="7" ref="H189:H194">F189*$E$185/1000</f>
        <v>4.218614400000001</v>
      </c>
      <c r="I189" s="103">
        <f aca="true" t="shared" si="8" ref="I189:I194">G189*$E$186/1000</f>
        <v>0</v>
      </c>
    </row>
    <row r="190" spans="2:9" ht="30">
      <c r="B190" s="94" t="s">
        <v>189</v>
      </c>
      <c r="C190" s="93" t="s">
        <v>190</v>
      </c>
      <c r="D190" s="262" t="s">
        <v>191</v>
      </c>
      <c r="E190" s="262"/>
      <c r="F190" s="101">
        <f>0.012*$E$182*$E$183</f>
        <v>29.568</v>
      </c>
      <c r="G190" s="101">
        <f>0.002*$E$182*$E$183</f>
        <v>4.928</v>
      </c>
      <c r="H190" s="103">
        <f t="shared" si="7"/>
        <v>1.6874457600000001</v>
      </c>
      <c r="I190" s="103">
        <f t="shared" si="8"/>
        <v>0.18977728</v>
      </c>
    </row>
    <row r="191" spans="2:9" ht="30">
      <c r="B191" s="94" t="s">
        <v>192</v>
      </c>
      <c r="C191" s="93" t="s">
        <v>193</v>
      </c>
      <c r="D191" s="262" t="s">
        <v>193</v>
      </c>
      <c r="E191" s="262"/>
      <c r="F191" s="101">
        <f>0.08*$E$182*$E$183</f>
        <v>197.12</v>
      </c>
      <c r="G191" s="101">
        <f>0.08*$E$182*$E$183</f>
        <v>197.12</v>
      </c>
      <c r="H191" s="103">
        <f t="shared" si="7"/>
        <v>11.2496384</v>
      </c>
      <c r="I191" s="103">
        <f t="shared" si="8"/>
        <v>7.5910912</v>
      </c>
    </row>
    <row r="192" spans="2:9" ht="15">
      <c r="B192" s="94" t="s">
        <v>194</v>
      </c>
      <c r="C192" s="93" t="s">
        <v>195</v>
      </c>
      <c r="D192" s="262" t="s">
        <v>195</v>
      </c>
      <c r="E192" s="262"/>
      <c r="F192" s="101">
        <f>0.4*$E$182*$E$183</f>
        <v>985.6</v>
      </c>
      <c r="G192" s="101">
        <f>0.4*$E$182*$E$183</f>
        <v>985.6</v>
      </c>
      <c r="H192" s="103">
        <f t="shared" si="7"/>
        <v>56.248192</v>
      </c>
      <c r="I192" s="103">
        <f t="shared" si="8"/>
        <v>37.955456</v>
      </c>
    </row>
    <row r="193" spans="2:9" ht="45">
      <c r="B193" s="94" t="s">
        <v>196</v>
      </c>
      <c r="C193" s="93" t="s">
        <v>197</v>
      </c>
      <c r="D193" s="262" t="s">
        <v>198</v>
      </c>
      <c r="E193" s="262"/>
      <c r="F193" s="101">
        <f>0.0005*F199*E182</f>
        <v>18.48</v>
      </c>
      <c r="G193" s="101">
        <f>0.00025*F199*E182</f>
        <v>9.24</v>
      </c>
      <c r="H193" s="103">
        <f t="shared" si="7"/>
        <v>1.0546536000000002</v>
      </c>
      <c r="I193" s="103">
        <f t="shared" si="8"/>
        <v>0.3558324</v>
      </c>
    </row>
    <row r="194" spans="2:9" ht="15">
      <c r="B194" s="94" t="s">
        <v>199</v>
      </c>
      <c r="C194" s="262" t="s">
        <v>200</v>
      </c>
      <c r="D194" s="262"/>
      <c r="E194" s="262"/>
      <c r="F194" s="101">
        <f>0.0025*E182*E184</f>
        <v>3.85</v>
      </c>
      <c r="G194" s="101">
        <f>0.0025*E184*E182</f>
        <v>3.85</v>
      </c>
      <c r="H194" s="103">
        <f t="shared" si="7"/>
        <v>0.2197195</v>
      </c>
      <c r="I194" s="103">
        <f t="shared" si="8"/>
        <v>0.1482635</v>
      </c>
    </row>
    <row r="195" spans="2:9" ht="15">
      <c r="B195" s="266" t="s">
        <v>11</v>
      </c>
      <c r="C195" s="266"/>
      <c r="D195" s="266"/>
      <c r="E195" s="266"/>
      <c r="F195" s="102">
        <f>SUM(F189:F194)</f>
        <v>1308.538</v>
      </c>
      <c r="G195" s="102">
        <f>SUM(G189:G194)</f>
        <v>1200.738</v>
      </c>
      <c r="H195" s="102">
        <f>SUM(H189:H194)</f>
        <v>74.67826366</v>
      </c>
      <c r="I195" s="102">
        <f>SUM(I189:I194)</f>
        <v>46.240420379999996</v>
      </c>
    </row>
    <row r="196" ht="12.75"/>
    <row r="197" spans="1:2" ht="15">
      <c r="A197" s="58" t="s">
        <v>340</v>
      </c>
      <c r="B197" s="75" t="s">
        <v>361</v>
      </c>
    </row>
    <row r="198" spans="2:9" ht="60">
      <c r="B198" s="93" t="s">
        <v>201</v>
      </c>
      <c r="C198" s="93" t="s">
        <v>3</v>
      </c>
      <c r="D198" s="93" t="s">
        <v>202</v>
      </c>
      <c r="E198" s="93" t="s">
        <v>203</v>
      </c>
      <c r="F198" s="93" t="s">
        <v>204</v>
      </c>
      <c r="G198" s="93" t="s">
        <v>205</v>
      </c>
      <c r="H198" s="93" t="s">
        <v>206</v>
      </c>
      <c r="I198" s="93" t="s">
        <v>182</v>
      </c>
    </row>
    <row r="199" spans="2:11" ht="15">
      <c r="B199" s="99" t="s">
        <v>207</v>
      </c>
      <c r="C199" s="93" t="s">
        <v>208</v>
      </c>
      <c r="D199" s="93">
        <v>60</v>
      </c>
      <c r="E199" s="93">
        <v>1.04</v>
      </c>
      <c r="F199" s="93">
        <v>120</v>
      </c>
      <c r="G199" s="105">
        <f>D199*E199*F199</f>
        <v>7488.000000000001</v>
      </c>
      <c r="H199" s="98">
        <v>8.98</v>
      </c>
      <c r="I199" s="105">
        <f>G199*H199/1000</f>
        <v>67.24224000000001</v>
      </c>
      <c r="K199" s="104"/>
    </row>
    <row r="200" spans="2:9" ht="15">
      <c r="B200" s="265" t="s">
        <v>209</v>
      </c>
      <c r="C200" s="265"/>
      <c r="D200" s="265"/>
      <c r="E200" s="265"/>
      <c r="F200" s="265"/>
      <c r="G200" s="265"/>
      <c r="H200" s="265"/>
      <c r="I200" s="265"/>
    </row>
    <row r="201" ht="12.75"/>
    <row r="202" spans="1:9" ht="15">
      <c r="A202" s="58" t="s">
        <v>341</v>
      </c>
      <c r="B202" s="75" t="s">
        <v>362</v>
      </c>
      <c r="I202" s="104"/>
    </row>
    <row r="203" spans="2:5" ht="45">
      <c r="B203" s="93" t="s">
        <v>210</v>
      </c>
      <c r="C203" s="93" t="s">
        <v>204</v>
      </c>
      <c r="D203" s="93" t="s">
        <v>211</v>
      </c>
      <c r="E203" s="93" t="s">
        <v>182</v>
      </c>
    </row>
    <row r="204" spans="2:5" ht="15">
      <c r="B204" s="99" t="s">
        <v>212</v>
      </c>
      <c r="C204" s="98">
        <f>F199</f>
        <v>120</v>
      </c>
      <c r="D204" s="93">
        <v>600</v>
      </c>
      <c r="E204" s="98">
        <f>D204*C204/1000*12</f>
        <v>864</v>
      </c>
    </row>
    <row r="205" ht="12.75"/>
    <row r="206" spans="1:2" ht="15">
      <c r="A206" s="58" t="s">
        <v>342</v>
      </c>
      <c r="B206" s="75" t="s">
        <v>363</v>
      </c>
    </row>
    <row r="207" spans="2:6" ht="60">
      <c r="B207" s="93" t="s">
        <v>213</v>
      </c>
      <c r="C207" s="93" t="s">
        <v>214</v>
      </c>
      <c r="D207" s="93" t="s">
        <v>215</v>
      </c>
      <c r="E207" s="93" t="s">
        <v>216</v>
      </c>
      <c r="F207" s="93" t="s">
        <v>217</v>
      </c>
    </row>
    <row r="208" spans="2:6" ht="15">
      <c r="B208" s="99" t="s">
        <v>218</v>
      </c>
      <c r="C208" s="93">
        <v>30</v>
      </c>
      <c r="D208" s="108">
        <f>1/C208</f>
        <v>0.03333333333333333</v>
      </c>
      <c r="E208" s="98">
        <v>0</v>
      </c>
      <c r="F208" s="98">
        <f>D208*E208</f>
        <v>0</v>
      </c>
    </row>
    <row r="209" spans="2:6" ht="15">
      <c r="B209" s="99" t="s">
        <v>219</v>
      </c>
      <c r="C209" s="93">
        <v>5</v>
      </c>
      <c r="D209" s="108">
        <f>1/C209</f>
        <v>0.2</v>
      </c>
      <c r="E209" s="106">
        <f>E123</f>
        <v>1726.7773</v>
      </c>
      <c r="F209" s="107">
        <f>D209*E209</f>
        <v>345.35546</v>
      </c>
    </row>
    <row r="210" spans="2:6" ht="15">
      <c r="B210" s="99" t="s">
        <v>220</v>
      </c>
      <c r="C210" s="93">
        <v>5</v>
      </c>
      <c r="D210" s="108">
        <f>1/C210</f>
        <v>0.2</v>
      </c>
      <c r="E210" s="98">
        <v>0</v>
      </c>
      <c r="F210" s="98">
        <f>E210*D210</f>
        <v>0</v>
      </c>
    </row>
    <row r="211" spans="2:6" ht="15">
      <c r="B211" s="267" t="s">
        <v>11</v>
      </c>
      <c r="C211" s="268"/>
      <c r="D211" s="269"/>
      <c r="E211" s="107">
        <f>SUM(E208:E210)</f>
        <v>1726.7773</v>
      </c>
      <c r="F211" s="107">
        <f>SUM(F208:F210)</f>
        <v>345.35546</v>
      </c>
    </row>
    <row r="212" spans="2:6" ht="15">
      <c r="B212" s="100"/>
      <c r="C212" s="100"/>
      <c r="D212" s="100"/>
      <c r="E212" s="109"/>
      <c r="F212" s="109"/>
    </row>
    <row r="213" spans="1:2" ht="12.75">
      <c r="A213" s="58" t="s">
        <v>343</v>
      </c>
      <c r="B213" s="64" t="s">
        <v>364</v>
      </c>
    </row>
    <row r="214" spans="2:3" ht="38.25">
      <c r="B214" s="84" t="s">
        <v>210</v>
      </c>
      <c r="C214" s="84" t="s">
        <v>221</v>
      </c>
    </row>
    <row r="215" spans="2:3" ht="12.75">
      <c r="B215" s="85" t="s">
        <v>222</v>
      </c>
      <c r="C215" s="252">
        <v>18</v>
      </c>
    </row>
    <row r="216" spans="2:3" ht="38.25">
      <c r="B216" s="85" t="s">
        <v>223</v>
      </c>
      <c r="C216" s="252">
        <v>24</v>
      </c>
    </row>
    <row r="217" spans="2:3" ht="12.75">
      <c r="B217" s="85" t="s">
        <v>224</v>
      </c>
      <c r="C217" s="252">
        <f>3*12</f>
        <v>36</v>
      </c>
    </row>
    <row r="218" spans="2:3" ht="38.25">
      <c r="B218" s="85" t="s">
        <v>336</v>
      </c>
      <c r="C218" s="253">
        <f>G147*0.005</f>
        <v>68.83800000000001</v>
      </c>
    </row>
    <row r="219" spans="2:3" ht="12.75">
      <c r="B219" s="85" t="s">
        <v>11</v>
      </c>
      <c r="C219" s="251">
        <f>SUM(C215:C218)</f>
        <v>146.83800000000002</v>
      </c>
    </row>
    <row r="220" ht="12.75"/>
    <row r="221" spans="1:2" ht="15">
      <c r="A221" s="58" t="s">
        <v>344</v>
      </c>
      <c r="B221" s="63" t="s">
        <v>365</v>
      </c>
    </row>
    <row r="222" spans="2:4" ht="15" customHeight="1">
      <c r="B222" s="271" t="s">
        <v>210</v>
      </c>
      <c r="C222" s="263" t="s">
        <v>225</v>
      </c>
      <c r="D222" s="264"/>
    </row>
    <row r="223" spans="2:4" ht="25.5">
      <c r="B223" s="272"/>
      <c r="C223" s="84" t="s">
        <v>8</v>
      </c>
      <c r="D223" s="84" t="s">
        <v>356</v>
      </c>
    </row>
    <row r="224" spans="2:4" ht="12.75">
      <c r="B224" s="85" t="s">
        <v>31</v>
      </c>
      <c r="C224" s="113">
        <f>G158</f>
        <v>4245.7073120000005</v>
      </c>
      <c r="D224" s="113">
        <f>C224/$C$232*100</f>
        <v>37.98969222164259</v>
      </c>
    </row>
    <row r="225" spans="2:4" ht="12.75">
      <c r="B225" s="85" t="s">
        <v>226</v>
      </c>
      <c r="C225" s="113">
        <f>F168</f>
        <v>4488.84</v>
      </c>
      <c r="D225" s="113">
        <f aca="true" t="shared" si="9" ref="D225:D231">C225/$C$232*100</f>
        <v>40.165192157786244</v>
      </c>
    </row>
    <row r="226" spans="2:4" ht="12.75">
      <c r="B226" s="85" t="s">
        <v>227</v>
      </c>
      <c r="C226" s="113">
        <f>C177</f>
        <v>897.04384</v>
      </c>
      <c r="D226" s="113">
        <f t="shared" si="9"/>
        <v>8.026558800839071</v>
      </c>
    </row>
    <row r="227" spans="2:4" ht="12.75">
      <c r="B227" s="85" t="s">
        <v>228</v>
      </c>
      <c r="C227" s="113">
        <f>H195+I195</f>
        <v>120.91868403999999</v>
      </c>
      <c r="D227" s="113">
        <f t="shared" si="9"/>
        <v>1.0819548435527306</v>
      </c>
    </row>
    <row r="228" spans="2:4" ht="12.75">
      <c r="B228" s="85" t="s">
        <v>229</v>
      </c>
      <c r="C228" s="113">
        <f>I199</f>
        <v>67.24224000000001</v>
      </c>
      <c r="D228" s="113">
        <f t="shared" si="9"/>
        <v>0.6016693601732254</v>
      </c>
    </row>
    <row r="229" spans="2:4" ht="12.75">
      <c r="B229" s="85" t="s">
        <v>230</v>
      </c>
      <c r="C229" s="113">
        <f>E204</f>
        <v>864</v>
      </c>
      <c r="D229" s="113">
        <f t="shared" si="9"/>
        <v>7.730889500255593</v>
      </c>
    </row>
    <row r="230" spans="2:4" ht="12.75">
      <c r="B230" s="85" t="s">
        <v>32</v>
      </c>
      <c r="C230" s="113">
        <f>F211</f>
        <v>345.35546</v>
      </c>
      <c r="D230" s="113">
        <f t="shared" si="9"/>
        <v>3.090167707835579</v>
      </c>
    </row>
    <row r="231" spans="2:4" ht="12.75">
      <c r="B231" s="85" t="s">
        <v>231</v>
      </c>
      <c r="C231" s="113">
        <f>C219</f>
        <v>146.83800000000002</v>
      </c>
      <c r="D231" s="113">
        <f t="shared" si="9"/>
        <v>1.3138754079149664</v>
      </c>
    </row>
    <row r="232" spans="2:4" ht="12.75">
      <c r="B232" s="85" t="s">
        <v>11</v>
      </c>
      <c r="C232" s="113">
        <f>SUM(C224:C231)</f>
        <v>11175.94553604</v>
      </c>
      <c r="D232" s="113">
        <f>SUM(D224:D231)</f>
        <v>100</v>
      </c>
    </row>
    <row r="233" ht="12.75"/>
    <row r="234" spans="1:86" s="46" customFormat="1" ht="12" customHeight="1">
      <c r="A234" s="182"/>
      <c r="B234" s="46" t="s">
        <v>232</v>
      </c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</row>
    <row r="235" ht="12.75">
      <c r="B235" s="53" t="s">
        <v>82</v>
      </c>
    </row>
    <row r="236" ht="12.75">
      <c r="B236" s="53"/>
    </row>
    <row r="237" spans="1:2" ht="17.25" customHeight="1">
      <c r="A237" s="58" t="s">
        <v>345</v>
      </c>
      <c r="B237" s="63" t="s">
        <v>233</v>
      </c>
    </row>
    <row r="238" spans="2:7" ht="12.75">
      <c r="B238" s="95" t="s">
        <v>234</v>
      </c>
      <c r="C238" s="95" t="s">
        <v>38</v>
      </c>
      <c r="D238" s="95" t="s">
        <v>4</v>
      </c>
      <c r="E238" s="95" t="s">
        <v>39</v>
      </c>
      <c r="F238" s="95" t="s">
        <v>37</v>
      </c>
      <c r="G238" s="95" t="s">
        <v>11</v>
      </c>
    </row>
    <row r="239" spans="2:7" ht="12.75">
      <c r="B239" s="111" t="s">
        <v>236</v>
      </c>
      <c r="C239" s="95"/>
      <c r="D239" s="95"/>
      <c r="E239" s="95"/>
      <c r="F239" s="95"/>
      <c r="G239" s="95"/>
    </row>
    <row r="240" spans="2:7" ht="12.75">
      <c r="B240" s="111" t="s">
        <v>238</v>
      </c>
      <c r="C240" s="95"/>
      <c r="D240" s="95"/>
      <c r="E240" s="95"/>
      <c r="F240" s="95"/>
      <c r="G240" s="95"/>
    </row>
    <row r="241" spans="2:7" ht="12.75">
      <c r="B241" s="111" t="s">
        <v>237</v>
      </c>
      <c r="C241" s="95"/>
      <c r="D241" s="95"/>
      <c r="E241" s="95"/>
      <c r="F241" s="95"/>
      <c r="G241" s="95"/>
    </row>
    <row r="242" spans="2:7" ht="12.75">
      <c r="B242" s="96" t="s">
        <v>235</v>
      </c>
      <c r="C242" s="110">
        <v>7.945</v>
      </c>
      <c r="D242" s="96"/>
      <c r="E242" s="96"/>
      <c r="F242" s="110">
        <v>15.89</v>
      </c>
      <c r="G242" s="110">
        <v>23.835</v>
      </c>
    </row>
    <row r="243" ht="12.75"/>
    <row r="244" spans="1:86" s="46" customFormat="1" ht="12" customHeight="1">
      <c r="A244" s="182"/>
      <c r="B244" s="46" t="s">
        <v>251</v>
      </c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</row>
    <row r="245" ht="12.75">
      <c r="B245" s="53" t="s">
        <v>301</v>
      </c>
    </row>
    <row r="246" ht="12.75">
      <c r="B246" s="53"/>
    </row>
    <row r="247" spans="1:2" ht="15">
      <c r="A247" s="58" t="s">
        <v>346</v>
      </c>
      <c r="B247" s="75" t="s">
        <v>244</v>
      </c>
    </row>
    <row r="248" spans="2:3" ht="25.5">
      <c r="B248" s="95" t="s">
        <v>245</v>
      </c>
      <c r="C248" s="95" t="s">
        <v>146</v>
      </c>
    </row>
    <row r="249" spans="2:3" ht="28.5" customHeight="1">
      <c r="B249" s="111" t="s">
        <v>354</v>
      </c>
      <c r="C249" s="243">
        <f>C250+C251+C252</f>
        <v>2140.32022</v>
      </c>
    </row>
    <row r="250" spans="1:3" s="53" customFormat="1" ht="25.5">
      <c r="A250" s="177"/>
      <c r="B250" s="242" t="s">
        <v>246</v>
      </c>
      <c r="C250" s="244">
        <f>C267-C253</f>
        <v>2140.32022</v>
      </c>
    </row>
    <row r="251" spans="1:3" s="53" customFormat="1" ht="25.5">
      <c r="A251" s="177"/>
      <c r="B251" s="242" t="s">
        <v>247</v>
      </c>
      <c r="C251" s="245">
        <v>0</v>
      </c>
    </row>
    <row r="252" spans="1:3" s="53" customFormat="1" ht="25.5">
      <c r="A252" s="177"/>
      <c r="B252" s="242" t="s">
        <v>248</v>
      </c>
      <c r="C252" s="245">
        <v>0</v>
      </c>
    </row>
    <row r="253" spans="1:3" s="53" customFormat="1" ht="27" customHeight="1">
      <c r="A253" s="177"/>
      <c r="B253" s="111" t="s">
        <v>258</v>
      </c>
      <c r="C253" s="246">
        <f>C254+C255</f>
        <v>250</v>
      </c>
    </row>
    <row r="254" spans="1:3" s="53" customFormat="1" ht="12.75">
      <c r="A254" s="177"/>
      <c r="B254" s="242" t="s">
        <v>249</v>
      </c>
      <c r="C254" s="244">
        <f>C262</f>
        <v>250</v>
      </c>
    </row>
    <row r="255" spans="1:3" s="53" customFormat="1" ht="25.5">
      <c r="A255" s="177"/>
      <c r="B255" s="242" t="s">
        <v>259</v>
      </c>
      <c r="C255" s="245"/>
    </row>
    <row r="256" spans="1:3" s="53" customFormat="1" ht="12.75">
      <c r="A256" s="177"/>
      <c r="B256" s="111" t="s">
        <v>11</v>
      </c>
      <c r="C256" s="243">
        <f>C253+C249</f>
        <v>2390.32022</v>
      </c>
    </row>
    <row r="257" ht="12.75">
      <c r="B257" s="53"/>
    </row>
    <row r="258" spans="1:2" s="63" customFormat="1" ht="15">
      <c r="A258" s="184" t="s">
        <v>347</v>
      </c>
      <c r="B258" s="63" t="s">
        <v>250</v>
      </c>
    </row>
    <row r="259" spans="2:4" ht="38.25">
      <c r="B259" s="84" t="s">
        <v>210</v>
      </c>
      <c r="C259" s="84" t="s">
        <v>146</v>
      </c>
      <c r="D259" s="84" t="s">
        <v>239</v>
      </c>
    </row>
    <row r="260" spans="2:4" ht="12.75">
      <c r="B260" s="85" t="s">
        <v>240</v>
      </c>
      <c r="C260" s="86">
        <v>0</v>
      </c>
      <c r="D260" s="113">
        <f>C260/$C$267*100</f>
        <v>0</v>
      </c>
    </row>
    <row r="261" spans="2:4" ht="12.75">
      <c r="B261" s="85" t="s">
        <v>241</v>
      </c>
      <c r="C261" s="113">
        <f>C262+C263+C264</f>
        <v>1976.7773</v>
      </c>
      <c r="D261" s="113">
        <f aca="true" t="shared" si="10" ref="D261:D266">C261/$C$267*100</f>
        <v>82.69926696264987</v>
      </c>
    </row>
    <row r="262" spans="1:4" s="53" customFormat="1" ht="12.75">
      <c r="A262" s="177"/>
      <c r="B262" s="114" t="s">
        <v>353</v>
      </c>
      <c r="C262" s="115">
        <v>250</v>
      </c>
      <c r="D262" s="116">
        <f t="shared" si="10"/>
        <v>10.458849735204097</v>
      </c>
    </row>
    <row r="263" spans="1:4" s="53" customFormat="1" ht="12.75">
      <c r="A263" s="177"/>
      <c r="B263" s="114" t="s">
        <v>219</v>
      </c>
      <c r="C263" s="115">
        <f>E123</f>
        <v>1726.7773</v>
      </c>
      <c r="D263" s="116">
        <f t="shared" si="10"/>
        <v>72.24041722744579</v>
      </c>
    </row>
    <row r="264" spans="1:4" s="53" customFormat="1" ht="12.75">
      <c r="A264" s="177"/>
      <c r="B264" s="114" t="s">
        <v>220</v>
      </c>
      <c r="C264" s="115">
        <v>0</v>
      </c>
      <c r="D264" s="116">
        <f t="shared" si="10"/>
        <v>0</v>
      </c>
    </row>
    <row r="265" spans="2:4" ht="12.75">
      <c r="B265" s="85" t="s">
        <v>242</v>
      </c>
      <c r="C265" s="86">
        <f>(C155*D155*30+C156*D156*30+C157*D157*30)/1000</f>
        <v>413.54292000000004</v>
      </c>
      <c r="D265" s="113">
        <f t="shared" si="10"/>
        <v>17.30073303735012</v>
      </c>
    </row>
    <row r="266" spans="2:4" ht="25.5">
      <c r="B266" s="85" t="s">
        <v>243</v>
      </c>
      <c r="C266" s="86">
        <v>0</v>
      </c>
      <c r="D266" s="113">
        <f t="shared" si="10"/>
        <v>0</v>
      </c>
    </row>
    <row r="267" spans="2:4" ht="12.75">
      <c r="B267" s="85" t="s">
        <v>11</v>
      </c>
      <c r="C267" s="113">
        <f>C260+C261+C265+C266</f>
        <v>2390.32022</v>
      </c>
      <c r="D267" s="113">
        <f>D260+D261+D265+D266</f>
        <v>100</v>
      </c>
    </row>
    <row r="268" ht="12.75"/>
    <row r="269" spans="1:2" ht="15">
      <c r="A269" s="58" t="s">
        <v>348</v>
      </c>
      <c r="B269" s="75" t="s">
        <v>252</v>
      </c>
    </row>
    <row r="270" spans="1:2" s="53" customFormat="1" ht="15">
      <c r="A270" s="177"/>
      <c r="B270" s="173" t="s">
        <v>300</v>
      </c>
    </row>
    <row r="271" spans="2:3" ht="12.75">
      <c r="B271" s="258" t="s">
        <v>256</v>
      </c>
      <c r="C271" s="258"/>
    </row>
    <row r="272" spans="2:3" ht="12.75">
      <c r="B272" s="254" t="s">
        <v>255</v>
      </c>
      <c r="C272" s="117">
        <v>8</v>
      </c>
    </row>
    <row r="273" spans="2:3" ht="12.75">
      <c r="B273" s="254" t="s">
        <v>254</v>
      </c>
      <c r="C273" s="117">
        <v>5</v>
      </c>
    </row>
    <row r="274" spans="2:3" ht="12.75">
      <c r="B274" s="255" t="s">
        <v>257</v>
      </c>
      <c r="C274" s="158">
        <v>3</v>
      </c>
    </row>
    <row r="275" spans="1:7" s="64" customFormat="1" ht="15" customHeight="1">
      <c r="A275" s="148"/>
      <c r="B275" s="259" t="s">
        <v>2</v>
      </c>
      <c r="C275" s="261">
        <f>D33</f>
        <v>2019</v>
      </c>
      <c r="D275" s="261"/>
      <c r="E275" s="261"/>
      <c r="F275" s="261"/>
      <c r="G275" s="261"/>
    </row>
    <row r="276" spans="1:7" s="64" customFormat="1" ht="15" customHeight="1">
      <c r="A276" s="148"/>
      <c r="B276" s="260"/>
      <c r="C276" s="147" t="s">
        <v>25</v>
      </c>
      <c r="D276" s="147" t="s">
        <v>276</v>
      </c>
      <c r="E276" s="147" t="s">
        <v>26</v>
      </c>
      <c r="F276" s="147" t="s">
        <v>27</v>
      </c>
      <c r="G276" s="256" t="s">
        <v>11</v>
      </c>
    </row>
    <row r="277" spans="1:26" s="64" customFormat="1" ht="12.75">
      <c r="A277" s="148"/>
      <c r="B277" s="254" t="s">
        <v>277</v>
      </c>
      <c r="C277" s="159">
        <f>SUM($C$138:$E$138)</f>
        <v>90</v>
      </c>
      <c r="D277" s="159">
        <f>SUM($F$138:$H$138)</f>
        <v>91</v>
      </c>
      <c r="E277" s="159">
        <f>SUM($I$138:$K$138)</f>
        <v>92</v>
      </c>
      <c r="F277" s="159">
        <f>SUM($L$138:$N$138)</f>
        <v>92</v>
      </c>
      <c r="G277" s="257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</row>
    <row r="278" spans="1:7" s="64" customFormat="1" ht="12.75">
      <c r="A278" s="148"/>
      <c r="B278" s="254" t="s">
        <v>253</v>
      </c>
      <c r="C278" s="160">
        <f>IF(D35=1,C249,0)</f>
        <v>2140.32022</v>
      </c>
      <c r="D278" s="160">
        <f>IF(D35&lt;3,C249-C280,0)</f>
        <v>2140.32022</v>
      </c>
      <c r="E278" s="160">
        <f>IF(E35&lt;3,C249-D280-C280,0)</f>
        <v>2049.1726759085154</v>
      </c>
      <c r="F278" s="160">
        <f>IF($F$35&lt;4,$C$249-$E$280-$D$280-$C$280,0)</f>
        <v>1956.6563090583645</v>
      </c>
      <c r="G278" s="164" t="s">
        <v>36</v>
      </c>
    </row>
    <row r="279" spans="1:7" s="64" customFormat="1" ht="12.75">
      <c r="A279" s="148"/>
      <c r="B279" s="254" t="s">
        <v>275</v>
      </c>
      <c r="C279" s="160">
        <f>C278*$C$272%/365*C277</f>
        <v>42.22001529863014</v>
      </c>
      <c r="D279" s="160">
        <f>D278*$C$272%/365*D277</f>
        <v>42.68912657972603</v>
      </c>
      <c r="E279" s="160">
        <f>E278*$C$272%/365*E277</f>
        <v>41.32030382105938</v>
      </c>
      <c r="F279" s="160">
        <f>F278*$C$272%/365*F277</f>
        <v>39.45476831416319</v>
      </c>
      <c r="G279" s="160">
        <f>SUM(C279:F279)</f>
        <v>165.68421401357875</v>
      </c>
    </row>
    <row r="280" spans="1:7" s="64" customFormat="1" ht="12.75">
      <c r="A280" s="148"/>
      <c r="B280" s="254" t="s">
        <v>29</v>
      </c>
      <c r="C280" s="160">
        <v>0</v>
      </c>
      <c r="D280" s="160">
        <f>D281-D279</f>
        <v>91.14754409148446</v>
      </c>
      <c r="E280" s="160">
        <f>E281-E279</f>
        <v>92.51636685015112</v>
      </c>
      <c r="F280" s="160">
        <f>F281-F279</f>
        <v>94.38190235704731</v>
      </c>
      <c r="G280" s="160">
        <f>SUM(C280:F280)</f>
        <v>278.0458132986829</v>
      </c>
    </row>
    <row r="281" spans="1:7" s="64" customFormat="1" ht="12.75">
      <c r="A281" s="148"/>
      <c r="B281" s="254" t="s">
        <v>28</v>
      </c>
      <c r="C281" s="160">
        <f>IF($C$274&lt;=3,C279,C288)</f>
        <v>42.22001529863014</v>
      </c>
      <c r="D281" s="160">
        <f>IF(D278=0,0,IF($C$274&gt;3&lt;6,D279,D288))</f>
        <v>133.8366706712105</v>
      </c>
      <c r="E281" s="160">
        <f>IF($C$274&gt;6&lt;9,E279,D288)</f>
        <v>133.8366706712105</v>
      </c>
      <c r="F281" s="160">
        <f>IF($C$274&gt;12&lt;9,F279,C288)</f>
        <v>133.8366706712105</v>
      </c>
      <c r="G281" s="160">
        <f>SUM(C281:F281)</f>
        <v>443.73002731226165</v>
      </c>
    </row>
    <row r="282" spans="1:7" s="64" customFormat="1" ht="15" customHeight="1">
      <c r="A282" s="148"/>
      <c r="B282" s="259" t="s">
        <v>2</v>
      </c>
      <c r="C282" s="273">
        <f>C275+1</f>
        <v>2020</v>
      </c>
      <c r="D282" s="274"/>
      <c r="E282" s="274"/>
      <c r="F282" s="274"/>
      <c r="G282" s="275"/>
    </row>
    <row r="283" spans="1:7" s="64" customFormat="1" ht="15" customHeight="1">
      <c r="A283" s="148"/>
      <c r="B283" s="260"/>
      <c r="C283" s="147" t="s">
        <v>25</v>
      </c>
      <c r="D283" s="147" t="s">
        <v>276</v>
      </c>
      <c r="E283" s="147" t="s">
        <v>26</v>
      </c>
      <c r="F283" s="147" t="s">
        <v>27</v>
      </c>
      <c r="G283" s="256" t="s">
        <v>11</v>
      </c>
    </row>
    <row r="284" spans="1:7" s="64" customFormat="1" ht="12.75">
      <c r="A284" s="148"/>
      <c r="B284" s="254" t="s">
        <v>277</v>
      </c>
      <c r="C284" s="162">
        <f>SUM($C$138:$E$138)</f>
        <v>90</v>
      </c>
      <c r="D284" s="162">
        <f>SUM($F$138:$H$138)</f>
        <v>91</v>
      </c>
      <c r="E284" s="162">
        <f>SUM($I$138:$K$138)</f>
        <v>92</v>
      </c>
      <c r="F284" s="162">
        <f>SUM($L$138:$N$138)</f>
        <v>92</v>
      </c>
      <c r="G284" s="257"/>
    </row>
    <row r="285" spans="1:7" s="64" customFormat="1" ht="12.75">
      <c r="A285" s="148"/>
      <c r="B285" s="254" t="s">
        <v>253</v>
      </c>
      <c r="C285" s="160">
        <f>IF($F$35&lt;5,C249-F280-E280-D280-C280,0)</f>
        <v>1862.2744067013173</v>
      </c>
      <c r="D285" s="160">
        <f>C285-C287</f>
        <v>1765.1730119979136</v>
      </c>
      <c r="E285" s="160">
        <f>D285-D287</f>
        <v>1666.5430797577847</v>
      </c>
      <c r="F285" s="160">
        <f>E285-E287</f>
        <v>1566.3112229688134</v>
      </c>
      <c r="G285" s="164" t="s">
        <v>36</v>
      </c>
    </row>
    <row r="286" spans="1:7" s="64" customFormat="1" ht="12.75">
      <c r="A286" s="148"/>
      <c r="B286" s="254" t="s">
        <v>275</v>
      </c>
      <c r="C286" s="160">
        <f>C285*$C$272%/365*C284</f>
        <v>36.73527596780681</v>
      </c>
      <c r="D286" s="160">
        <f>D285*$C$272%/365*D284</f>
        <v>35.20673843108167</v>
      </c>
      <c r="E286" s="160">
        <f>E285*$C$272%/365*E284</f>
        <v>33.60481388223916</v>
      </c>
      <c r="F286" s="160">
        <f>F285*$C$272%/365*F284</f>
        <v>31.583700276850593</v>
      </c>
      <c r="G286" s="160">
        <f>SUM(C286:F286)</f>
        <v>137.1305285579782</v>
      </c>
    </row>
    <row r="287" spans="1:7" s="64" customFormat="1" ht="12.75">
      <c r="A287" s="148"/>
      <c r="B287" s="254" t="s">
        <v>29</v>
      </c>
      <c r="C287" s="160">
        <f>C288-C286</f>
        <v>97.10139470340368</v>
      </c>
      <c r="D287" s="160">
        <f>D288-D286</f>
        <v>98.62993224012882</v>
      </c>
      <c r="E287" s="160">
        <f>E288-E286</f>
        <v>100.23185678897133</v>
      </c>
      <c r="F287" s="160">
        <f>F288-F286</f>
        <v>102.2529703943599</v>
      </c>
      <c r="G287" s="160">
        <f>SUM(C287:F287)</f>
        <v>398.2161541268637</v>
      </c>
    </row>
    <row r="288" spans="1:7" s="64" customFormat="1" ht="12.75">
      <c r="A288" s="148"/>
      <c r="B288" s="254" t="s">
        <v>28</v>
      </c>
      <c r="C288" s="163">
        <f>PMT($C$272%/4,($C$273*12-C274)/3,(-C249),0,1)</f>
        <v>133.8366706712105</v>
      </c>
      <c r="D288" s="160">
        <f>C288</f>
        <v>133.8366706712105</v>
      </c>
      <c r="E288" s="160">
        <f>D288</f>
        <v>133.8366706712105</v>
      </c>
      <c r="F288" s="160">
        <f>E288</f>
        <v>133.8366706712105</v>
      </c>
      <c r="G288" s="160">
        <f>SUM(C288:F288)</f>
        <v>535.346682684842</v>
      </c>
    </row>
    <row r="289" spans="1:7" s="64" customFormat="1" ht="12.75">
      <c r="A289" s="148"/>
      <c r="B289" s="259" t="s">
        <v>2</v>
      </c>
      <c r="C289" s="261">
        <f>C282+1</f>
        <v>2021</v>
      </c>
      <c r="D289" s="261"/>
      <c r="E289" s="261"/>
      <c r="F289" s="261"/>
      <c r="G289" s="161"/>
    </row>
    <row r="290" spans="1:7" s="64" customFormat="1" ht="12.75">
      <c r="A290" s="148"/>
      <c r="B290" s="260"/>
      <c r="C290" s="147" t="s">
        <v>25</v>
      </c>
      <c r="D290" s="147" t="s">
        <v>276</v>
      </c>
      <c r="E290" s="147" t="s">
        <v>26</v>
      </c>
      <c r="F290" s="147" t="s">
        <v>27</v>
      </c>
      <c r="G290" s="256" t="s">
        <v>11</v>
      </c>
    </row>
    <row r="291" spans="1:7" s="64" customFormat="1" ht="12.75">
      <c r="A291" s="148"/>
      <c r="B291" s="254" t="s">
        <v>277</v>
      </c>
      <c r="C291" s="162">
        <f>SUM($C$138:$E$138)</f>
        <v>90</v>
      </c>
      <c r="D291" s="162">
        <f>SUM($F$138:$H$138)</f>
        <v>91</v>
      </c>
      <c r="E291" s="162">
        <f>SUM($I$138:$K$138)</f>
        <v>92</v>
      </c>
      <c r="F291" s="162">
        <f>SUM($L$138:$N$138)</f>
        <v>92</v>
      </c>
      <c r="G291" s="257"/>
    </row>
    <row r="292" spans="1:7" s="64" customFormat="1" ht="12.75">
      <c r="A292" s="148"/>
      <c r="B292" s="254" t="s">
        <v>253</v>
      </c>
      <c r="C292" s="160">
        <f>F285-F287</f>
        <v>1464.0582525744535</v>
      </c>
      <c r="D292" s="160">
        <f>C292-C294</f>
        <v>1359.1016351047117</v>
      </c>
      <c r="E292" s="160">
        <f>D292-D294</f>
        <v>1252.372525813124</v>
      </c>
      <c r="F292" s="160">
        <f>E292-E294</f>
        <v>1143.789175114474</v>
      </c>
      <c r="G292" s="164" t="s">
        <v>36</v>
      </c>
    </row>
    <row r="293" spans="1:7" s="64" customFormat="1" ht="12.75">
      <c r="A293" s="148"/>
      <c r="B293" s="254" t="s">
        <v>275</v>
      </c>
      <c r="C293" s="160">
        <f>C292*$C$272%/365*C291</f>
        <v>28.88005320146867</v>
      </c>
      <c r="D293" s="160">
        <f>D292*$C$272%/365*D291</f>
        <v>27.10756137962274</v>
      </c>
      <c r="E293" s="160">
        <f>E292*$C$272%/365*E291</f>
        <v>25.253319972560526</v>
      </c>
      <c r="F293" s="160">
        <f>F292*$C$272%/365*F291</f>
        <v>23.06380364066446</v>
      </c>
      <c r="G293" s="160">
        <f>SUM(C293:F293)</f>
        <v>104.30473819431639</v>
      </c>
    </row>
    <row r="294" spans="1:7" s="64" customFormat="1" ht="12.75">
      <c r="A294" s="148"/>
      <c r="B294" s="254" t="s">
        <v>29</v>
      </c>
      <c r="C294" s="160">
        <f>C295-C293</f>
        <v>104.95661746974183</v>
      </c>
      <c r="D294" s="160">
        <f>D295-D293</f>
        <v>106.72910929158776</v>
      </c>
      <c r="E294" s="160">
        <f>E295-E293</f>
        <v>108.58335069864998</v>
      </c>
      <c r="F294" s="160">
        <f>F295-F293</f>
        <v>110.77286703054604</v>
      </c>
      <c r="G294" s="160">
        <f>SUM(C294:F294)</f>
        <v>431.0419444905256</v>
      </c>
    </row>
    <row r="295" spans="1:7" s="64" customFormat="1" ht="12.75">
      <c r="A295" s="148"/>
      <c r="B295" s="254" t="s">
        <v>28</v>
      </c>
      <c r="C295" s="160">
        <f>F288</f>
        <v>133.8366706712105</v>
      </c>
      <c r="D295" s="160">
        <f>C295</f>
        <v>133.8366706712105</v>
      </c>
      <c r="E295" s="160">
        <f>D295</f>
        <v>133.8366706712105</v>
      </c>
      <c r="F295" s="160">
        <f>E295</f>
        <v>133.8366706712105</v>
      </c>
      <c r="G295" s="160">
        <f>SUM(C295:F295)</f>
        <v>535.346682684842</v>
      </c>
    </row>
    <row r="296" spans="1:7" s="64" customFormat="1" ht="12.75">
      <c r="A296" s="148"/>
      <c r="B296" s="259" t="s">
        <v>2</v>
      </c>
      <c r="C296" s="261">
        <f>C289+1</f>
        <v>2022</v>
      </c>
      <c r="D296" s="261"/>
      <c r="E296" s="261"/>
      <c r="F296" s="261"/>
      <c r="G296" s="161"/>
    </row>
    <row r="297" spans="1:7" s="64" customFormat="1" ht="12.75">
      <c r="A297" s="148"/>
      <c r="B297" s="260"/>
      <c r="C297" s="147" t="s">
        <v>25</v>
      </c>
      <c r="D297" s="147" t="s">
        <v>276</v>
      </c>
      <c r="E297" s="147" t="s">
        <v>26</v>
      </c>
      <c r="F297" s="147" t="s">
        <v>27</v>
      </c>
      <c r="G297" s="256" t="s">
        <v>11</v>
      </c>
    </row>
    <row r="298" spans="1:7" s="64" customFormat="1" ht="12.75">
      <c r="A298" s="148"/>
      <c r="B298" s="254" t="s">
        <v>277</v>
      </c>
      <c r="C298" s="162">
        <f>SUM($C$138:$E$138)</f>
        <v>90</v>
      </c>
      <c r="D298" s="162">
        <f>SUM($F$138:$H$138)</f>
        <v>91</v>
      </c>
      <c r="E298" s="162">
        <f>SUM($I$138:$K$138)</f>
        <v>92</v>
      </c>
      <c r="F298" s="162">
        <f>SUM($L$138:$N$138)</f>
        <v>92</v>
      </c>
      <c r="G298" s="257"/>
    </row>
    <row r="299" spans="1:7" s="64" customFormat="1" ht="12.75">
      <c r="A299" s="148"/>
      <c r="B299" s="254" t="s">
        <v>253</v>
      </c>
      <c r="C299" s="160">
        <f>F292-F294</f>
        <v>1033.016308083928</v>
      </c>
      <c r="D299" s="160">
        <f>C299-C301</f>
        <v>919.5569454077977</v>
      </c>
      <c r="E299" s="160">
        <f>D299-D301</f>
        <v>804.061026962803</v>
      </c>
      <c r="F299" s="160">
        <f>E299-E301</f>
        <v>686.4377512462397</v>
      </c>
      <c r="G299" s="164" t="s">
        <v>36</v>
      </c>
    </row>
    <row r="300" spans="1:7" s="64" customFormat="1" ht="12.75">
      <c r="A300" s="148"/>
      <c r="B300" s="254" t="s">
        <v>275</v>
      </c>
      <c r="C300" s="160">
        <f>C299*$C$272%/365*C298</f>
        <v>20.37730799508022</v>
      </c>
      <c r="D300" s="160">
        <f>D299*$C$272%/365*D298</f>
        <v>18.340752226215802</v>
      </c>
      <c r="E300" s="160">
        <f>E299*$C$272%/365*E298</f>
        <v>16.213394954647203</v>
      </c>
      <c r="F300" s="160">
        <f>F299*$C$272%/365*F298</f>
        <v>13.841594107321436</v>
      </c>
      <c r="G300" s="160">
        <f>SUM(C300:F300)</f>
        <v>68.77304928326467</v>
      </c>
    </row>
    <row r="301" spans="1:7" s="64" customFormat="1" ht="12.75">
      <c r="A301" s="148"/>
      <c r="B301" s="254" t="s">
        <v>29</v>
      </c>
      <c r="C301" s="160">
        <f>C302-C300</f>
        <v>113.45936267613028</v>
      </c>
      <c r="D301" s="160">
        <f>D302-D300</f>
        <v>115.4959184449947</v>
      </c>
      <c r="E301" s="160">
        <f>E302-E300</f>
        <v>117.6232757165633</v>
      </c>
      <c r="F301" s="160">
        <f>F302-F300</f>
        <v>119.99507656388906</v>
      </c>
      <c r="G301" s="160">
        <f>SUM(C301:F301)</f>
        <v>466.57363340157735</v>
      </c>
    </row>
    <row r="302" spans="1:7" s="64" customFormat="1" ht="12.75">
      <c r="A302" s="148"/>
      <c r="B302" s="254" t="s">
        <v>28</v>
      </c>
      <c r="C302" s="160">
        <f>F295</f>
        <v>133.8366706712105</v>
      </c>
      <c r="D302" s="160">
        <f>C302</f>
        <v>133.8366706712105</v>
      </c>
      <c r="E302" s="160">
        <f>D302</f>
        <v>133.8366706712105</v>
      </c>
      <c r="F302" s="160">
        <f>E302</f>
        <v>133.8366706712105</v>
      </c>
      <c r="G302" s="160">
        <f>SUM(C302:F302)</f>
        <v>535.346682684842</v>
      </c>
    </row>
    <row r="303" spans="1:7" s="64" customFormat="1" ht="12.75">
      <c r="A303" s="148"/>
      <c r="B303" s="259" t="s">
        <v>2</v>
      </c>
      <c r="C303" s="261">
        <f>C296+1</f>
        <v>2023</v>
      </c>
      <c r="D303" s="261"/>
      <c r="E303" s="261"/>
      <c r="F303" s="261"/>
      <c r="G303" s="161"/>
    </row>
    <row r="304" spans="1:7" s="64" customFormat="1" ht="12.75">
      <c r="A304" s="148"/>
      <c r="B304" s="260"/>
      <c r="C304" s="147" t="s">
        <v>25</v>
      </c>
      <c r="D304" s="147" t="s">
        <v>276</v>
      </c>
      <c r="E304" s="147" t="s">
        <v>26</v>
      </c>
      <c r="F304" s="147" t="s">
        <v>27</v>
      </c>
      <c r="G304" s="256" t="s">
        <v>11</v>
      </c>
    </row>
    <row r="305" spans="1:7" s="64" customFormat="1" ht="12.75">
      <c r="A305" s="148"/>
      <c r="B305" s="254" t="s">
        <v>277</v>
      </c>
      <c r="C305" s="162">
        <f>SUM($C$138:$E$138)</f>
        <v>90</v>
      </c>
      <c r="D305" s="162">
        <f>SUM($F$138:$H$138)</f>
        <v>91</v>
      </c>
      <c r="E305" s="162">
        <f>SUM($I$138:$K$138)</f>
        <v>92</v>
      </c>
      <c r="F305" s="162">
        <f>SUM($L$138:$N$138)</f>
        <v>92</v>
      </c>
      <c r="G305" s="257"/>
    </row>
    <row r="306" spans="1:7" s="64" customFormat="1" ht="12.75">
      <c r="A306" s="148"/>
      <c r="B306" s="254" t="s">
        <v>253</v>
      </c>
      <c r="C306" s="160">
        <f>F299-F301</f>
        <v>566.4426746823507</v>
      </c>
      <c r="D306" s="160">
        <f>C306-C308</f>
        <v>443.7796677309016</v>
      </c>
      <c r="E306" s="160">
        <f>D306-D308</f>
        <v>318.7942737201869</v>
      </c>
      <c r="F306" s="160">
        <f>E306-E308</f>
        <v>191.3858930615259</v>
      </c>
      <c r="G306" s="164" t="s">
        <v>36</v>
      </c>
    </row>
    <row r="307" spans="1:7" s="64" customFormat="1" ht="12.75">
      <c r="A307" s="148"/>
      <c r="B307" s="254" t="s">
        <v>275</v>
      </c>
      <c r="C307" s="160">
        <f>C306*$C$272%/365*C305</f>
        <v>11.173663719761437</v>
      </c>
      <c r="D307" s="160">
        <f>D306*$C$272%/365*D305</f>
        <v>8.851276660495792</v>
      </c>
      <c r="E307" s="160">
        <f>E306*$C$272%/365*E305</f>
        <v>6.428290012549522</v>
      </c>
      <c r="F307" s="160">
        <f>F306*$C$272%/365*F305</f>
        <v>3.859178555980358</v>
      </c>
      <c r="G307" s="160">
        <f>SUM(C307:F307)</f>
        <v>30.312408948787105</v>
      </c>
    </row>
    <row r="308" spans="1:7" s="64" customFormat="1" ht="12.75">
      <c r="A308" s="148"/>
      <c r="B308" s="254" t="s">
        <v>29</v>
      </c>
      <c r="C308" s="160">
        <f>C309-C307</f>
        <v>122.66300695144906</v>
      </c>
      <c r="D308" s="160">
        <f>D309-D307</f>
        <v>124.98539401071471</v>
      </c>
      <c r="E308" s="160">
        <f>E309-E307</f>
        <v>127.40838065866097</v>
      </c>
      <c r="F308" s="160">
        <f>IF(C278&gt;0,F306,F309-F307)</f>
        <v>191.3858930615259</v>
      </c>
      <c r="G308" s="160">
        <f>SUM(C308:F308)</f>
        <v>566.4426746823506</v>
      </c>
    </row>
    <row r="309" spans="1:7" s="64" customFormat="1" ht="12.75">
      <c r="A309" s="148"/>
      <c r="B309" s="254" t="s">
        <v>28</v>
      </c>
      <c r="C309" s="160">
        <f>F302</f>
        <v>133.8366706712105</v>
      </c>
      <c r="D309" s="160">
        <f>C309</f>
        <v>133.8366706712105</v>
      </c>
      <c r="E309" s="160">
        <f>D309</f>
        <v>133.8366706712105</v>
      </c>
      <c r="F309" s="160">
        <f>IF(F308=F306,F307+F308,E309)</f>
        <v>195.24507161750626</v>
      </c>
      <c r="G309" s="160">
        <f>SUM(C309:F309)</f>
        <v>596.7550836311377</v>
      </c>
    </row>
    <row r="310" spans="1:7" s="64" customFormat="1" ht="12.75">
      <c r="A310" s="148"/>
      <c r="B310" s="259" t="s">
        <v>2</v>
      </c>
      <c r="C310" s="261">
        <f>C303+1</f>
        <v>2024</v>
      </c>
      <c r="D310" s="261"/>
      <c r="E310" s="261"/>
      <c r="F310" s="261"/>
      <c r="G310" s="161"/>
    </row>
    <row r="311" spans="1:7" s="64" customFormat="1" ht="12.75">
      <c r="A311" s="148"/>
      <c r="B311" s="260"/>
      <c r="C311" s="147" t="s">
        <v>25</v>
      </c>
      <c r="D311" s="147" t="s">
        <v>276</v>
      </c>
      <c r="E311" s="147" t="s">
        <v>26</v>
      </c>
      <c r="F311" s="147" t="s">
        <v>27</v>
      </c>
      <c r="G311" s="256" t="s">
        <v>11</v>
      </c>
    </row>
    <row r="312" spans="1:7" s="64" customFormat="1" ht="12.75">
      <c r="A312" s="148"/>
      <c r="B312" s="254" t="s">
        <v>277</v>
      </c>
      <c r="C312" s="162">
        <f>SUM($C$138:$E$138)</f>
        <v>90</v>
      </c>
      <c r="D312" s="162">
        <f>SUM($F$138:$H$138)</f>
        <v>91</v>
      </c>
      <c r="E312" s="162">
        <f>SUM($I$138:$K$138)</f>
        <v>92</v>
      </c>
      <c r="F312" s="162">
        <f>SUM($L$138:$N$138)</f>
        <v>92</v>
      </c>
      <c r="G312" s="257"/>
    </row>
    <row r="313" spans="1:7" s="64" customFormat="1" ht="12.75">
      <c r="A313" s="148"/>
      <c r="B313" s="254" t="s">
        <v>253</v>
      </c>
      <c r="C313" s="160">
        <f>F306-F308</f>
        <v>0</v>
      </c>
      <c r="D313" s="160">
        <f>C313-C315</f>
        <v>0</v>
      </c>
      <c r="E313" s="160">
        <f>D313-D315</f>
        <v>0</v>
      </c>
      <c r="F313" s="160">
        <f>E313-E315</f>
        <v>0</v>
      </c>
      <c r="G313" s="164" t="s">
        <v>36</v>
      </c>
    </row>
    <row r="314" spans="1:7" s="64" customFormat="1" ht="12.75">
      <c r="A314" s="148"/>
      <c r="B314" s="254" t="s">
        <v>275</v>
      </c>
      <c r="C314" s="160">
        <f>C313*$C$272%/365*C312</f>
        <v>0</v>
      </c>
      <c r="D314" s="160">
        <f>C313*$C$272%/365*D312</f>
        <v>0</v>
      </c>
      <c r="E314" s="160">
        <f>D313*$C$272%/365*E312</f>
        <v>0</v>
      </c>
      <c r="F314" s="160">
        <f>E313*$C$272%/365*F312</f>
        <v>0</v>
      </c>
      <c r="G314" s="160">
        <f>SUM(C314:F314)</f>
        <v>0</v>
      </c>
    </row>
    <row r="315" spans="1:7" s="64" customFormat="1" ht="12.75">
      <c r="A315" s="148"/>
      <c r="B315" s="254" t="s">
        <v>29</v>
      </c>
      <c r="C315" s="160">
        <f>IF(D278&gt;0,C313,C316-C314)</f>
        <v>0</v>
      </c>
      <c r="D315" s="160">
        <f>IF(E278&gt;0,D313,D316-D314)</f>
        <v>0</v>
      </c>
      <c r="E315" s="160">
        <f>IF(F278&gt;0,E313,E316-E314)</f>
        <v>0</v>
      </c>
      <c r="F315" s="160">
        <f>IF(C285&gt;0,F313,F316-F314)</f>
        <v>0</v>
      </c>
      <c r="G315" s="160">
        <f>SUM(C315:F315)</f>
        <v>0</v>
      </c>
    </row>
    <row r="316" spans="1:7" s="64" customFormat="1" ht="12.75">
      <c r="A316" s="148"/>
      <c r="B316" s="254" t="s">
        <v>28</v>
      </c>
      <c r="C316" s="160">
        <f>IF(C315=C313,C314+C315,B316)</f>
        <v>0</v>
      </c>
      <c r="D316" s="160">
        <f>IF(D315=D313,D314+D315,C316)</f>
        <v>0</v>
      </c>
      <c r="E316" s="160">
        <f>IF(E315=E313,E314+E315,D316)</f>
        <v>0</v>
      </c>
      <c r="F316" s="160">
        <f>IF(F315=F313,F314+F315,E316)</f>
        <v>0</v>
      </c>
      <c r="G316" s="160">
        <f>SUM(C316:F316)</f>
        <v>0</v>
      </c>
    </row>
    <row r="317" spans="2:3" ht="12.75">
      <c r="B317" s="254" t="s">
        <v>278</v>
      </c>
      <c r="C317" s="157">
        <f>G314+G307+G300+G293+G286+G279</f>
        <v>506.2049389979251</v>
      </c>
    </row>
    <row r="318" spans="2:3" ht="12.75">
      <c r="B318" s="254" t="s">
        <v>279</v>
      </c>
      <c r="C318" s="157">
        <f>G315+G308+G301+G294+G287+G280</f>
        <v>2140.32022</v>
      </c>
    </row>
    <row r="319" spans="2:3" ht="12.75">
      <c r="B319" s="254" t="s">
        <v>28</v>
      </c>
      <c r="C319" s="157">
        <f>G316+G309+G302+G295+G288+G281</f>
        <v>2646.5251589979252</v>
      </c>
    </row>
    <row r="321" spans="1:86" s="46" customFormat="1" ht="12" customHeight="1">
      <c r="A321" s="182"/>
      <c r="B321" s="46" t="s">
        <v>299</v>
      </c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</row>
    <row r="322" ht="12.75">
      <c r="B322" s="53" t="s">
        <v>324</v>
      </c>
    </row>
    <row r="324" spans="1:2" s="64" customFormat="1" ht="12.75">
      <c r="A324" s="148" t="s">
        <v>349</v>
      </c>
      <c r="B324" s="64" t="s">
        <v>367</v>
      </c>
    </row>
    <row r="325" spans="1:8" s="186" customFormat="1" ht="12.75">
      <c r="A325" s="185"/>
      <c r="B325" s="187" t="s">
        <v>2</v>
      </c>
      <c r="C325" s="187">
        <f>'приложение 1'!B7</f>
        <v>2019</v>
      </c>
      <c r="D325" s="187">
        <f>C325+1</f>
        <v>2020</v>
      </c>
      <c r="E325" s="187">
        <f>D325+1</f>
        <v>2021</v>
      </c>
      <c r="F325" s="187">
        <f>E325+1</f>
        <v>2022</v>
      </c>
      <c r="G325" s="187">
        <f>F325+1</f>
        <v>2023</v>
      </c>
      <c r="H325" s="187">
        <f>G325+1</f>
        <v>2024</v>
      </c>
    </row>
    <row r="326" spans="1:8" s="186" customFormat="1" ht="12.75">
      <c r="A326" s="185"/>
      <c r="B326" s="188" t="str">
        <f>'приложение 1'!A12</f>
        <v>Выручка </v>
      </c>
      <c r="C326" s="198">
        <f>'приложение 1'!B12</f>
        <v>10325.7</v>
      </c>
      <c r="D326" s="198">
        <f>'приложение 1'!G12</f>
        <v>14146.209000000003</v>
      </c>
      <c r="E326" s="198">
        <f>'приложение 1'!L12</f>
        <v>14429.13318</v>
      </c>
      <c r="F326" s="198">
        <f>'приложение 1'!Q12</f>
        <v>14717.715843600003</v>
      </c>
      <c r="G326" s="198">
        <f>'приложение 1'!V12</f>
        <v>15012.070160472003</v>
      </c>
      <c r="H326" s="198">
        <f>'приложение 1'!AA12</f>
        <v>0</v>
      </c>
    </row>
    <row r="327" spans="1:8" s="186" customFormat="1" ht="12.75">
      <c r="A327" s="185"/>
      <c r="B327" s="188" t="str">
        <f>'приложение 1'!A13</f>
        <v>Переменные расходы</v>
      </c>
      <c r="C327" s="198">
        <f>'приложение 1'!B13</f>
        <v>3842.0947708321164</v>
      </c>
      <c r="D327" s="198">
        <f>'приложение 1'!G13</f>
        <v>5263.6698360400005</v>
      </c>
      <c r="E327" s="198">
        <f>'приложение 1'!L13</f>
        <v>5368.9432327608</v>
      </c>
      <c r="F327" s="198">
        <f>'приложение 1'!Q13</f>
        <v>5476.322097416016</v>
      </c>
      <c r="G327" s="198">
        <f>'приложение 1'!V13</f>
        <v>5585.848539364337</v>
      </c>
      <c r="H327" s="198">
        <f>'приложение 1'!AA13</f>
        <v>0</v>
      </c>
    </row>
    <row r="328" spans="1:8" s="186" customFormat="1" ht="12.75">
      <c r="A328" s="185"/>
      <c r="B328" s="188" t="str">
        <f>'приложение 1'!A18</f>
        <v>Валовая прибыль</v>
      </c>
      <c r="C328" s="198">
        <f aca="true" t="shared" si="11" ref="C328:H328">C326-C327</f>
        <v>6483.605229167884</v>
      </c>
      <c r="D328" s="198">
        <f t="shared" si="11"/>
        <v>8882.539163960002</v>
      </c>
      <c r="E328" s="198">
        <f t="shared" si="11"/>
        <v>9060.1899472392</v>
      </c>
      <c r="F328" s="198">
        <f t="shared" si="11"/>
        <v>9241.393746183987</v>
      </c>
      <c r="G328" s="198">
        <f t="shared" si="11"/>
        <v>9426.221621107667</v>
      </c>
      <c r="H328" s="198">
        <f t="shared" si="11"/>
        <v>0</v>
      </c>
    </row>
    <row r="329" spans="1:8" s="186" customFormat="1" ht="12.75">
      <c r="A329" s="185"/>
      <c r="B329" s="188" t="str">
        <f>'приложение 1'!A19</f>
        <v>Постоянные расходы</v>
      </c>
      <c r="C329" s="198">
        <f>'приложение 1'!B19+'приложение 1'!B28</f>
        <v>4549.265693714949</v>
      </c>
      <c r="D329" s="198">
        <f>'приложение 1'!G19+'приложение 1'!G28</f>
        <v>6065.296228557978</v>
      </c>
      <c r="E329" s="198">
        <f>'приложение 1'!L19+'приложение 1'!L28</f>
        <v>6040.415438194315</v>
      </c>
      <c r="F329" s="198">
        <f>'приложение 1'!Q19+'приложение 1'!Q28</f>
        <v>6004.883749283264</v>
      </c>
      <c r="G329" s="198">
        <f>'приложение 1'!V19+'приложение 1'!V28</f>
        <v>5966.423108948787</v>
      </c>
      <c r="H329" s="198">
        <f>'приложение 1'!AA19</f>
        <v>0</v>
      </c>
    </row>
    <row r="330" spans="1:8" s="186" customFormat="1" ht="29.25" customHeight="1">
      <c r="A330" s="185"/>
      <c r="B330" s="188" t="s">
        <v>308</v>
      </c>
      <c r="C330" s="198">
        <f>C329/(C328/C326)</f>
        <v>7245.097613634507</v>
      </c>
      <c r="D330" s="198">
        <f>D329/(D328/D326)</f>
        <v>9659.506872113949</v>
      </c>
      <c r="E330" s="198">
        <f>E329/(E328/E326)</f>
        <v>9619.88206955776</v>
      </c>
      <c r="F330" s="198">
        <f>F329/(F328/F326)</f>
        <v>9563.294793309304</v>
      </c>
      <c r="G330" s="198">
        <f>G329/(G328/G326)</f>
        <v>9502.042909540205</v>
      </c>
      <c r="H330" s="198">
        <f>IF(H326=0,0,H329/(H328/H326))</f>
        <v>0</v>
      </c>
    </row>
    <row r="331" spans="1:8" s="186" customFormat="1" ht="12.75">
      <c r="A331" s="185"/>
      <c r="B331" s="188" t="s">
        <v>309</v>
      </c>
      <c r="C331" s="198">
        <f aca="true" t="shared" si="12" ref="C331:H331">C326-C330</f>
        <v>3080.6023863654937</v>
      </c>
      <c r="D331" s="198">
        <f t="shared" si="12"/>
        <v>4486.702127886054</v>
      </c>
      <c r="E331" s="198">
        <f t="shared" si="12"/>
        <v>4809.251110442241</v>
      </c>
      <c r="F331" s="198">
        <f t="shared" si="12"/>
        <v>5154.421050290699</v>
      </c>
      <c r="G331" s="198">
        <f t="shared" si="12"/>
        <v>5510.027250931798</v>
      </c>
      <c r="H331" s="198">
        <f t="shared" si="12"/>
        <v>0</v>
      </c>
    </row>
    <row r="332" spans="1:8" s="186" customFormat="1" ht="25.5">
      <c r="A332" s="185"/>
      <c r="B332" s="188" t="s">
        <v>310</v>
      </c>
      <c r="C332" s="199">
        <f>100-C330*100/C326</f>
        <v>29.834320059322792</v>
      </c>
      <c r="D332" s="199">
        <f>100-D330*100/D326</f>
        <v>31.716639616211324</v>
      </c>
      <c r="E332" s="199">
        <f>100-E330*100/E326</f>
        <v>33.33014568822658</v>
      </c>
      <c r="F332" s="199">
        <f>100-F330*100/F326</f>
        <v>35.02188182639834</v>
      </c>
      <c r="G332" s="199">
        <f>100-G330*100/G326</f>
        <v>36.70398014419188</v>
      </c>
      <c r="H332" s="199">
        <f>IF(H326=0,0,100-H330*100/H326)</f>
        <v>0</v>
      </c>
    </row>
    <row r="333" s="64" customFormat="1" ht="12.75">
      <c r="A333" s="148"/>
    </row>
    <row r="334" spans="1:2" s="64" customFormat="1" ht="12.75">
      <c r="A334" s="148" t="s">
        <v>350</v>
      </c>
      <c r="B334" s="64" t="s">
        <v>366</v>
      </c>
    </row>
    <row r="335" spans="2:9" s="148" customFormat="1" ht="12.75" hidden="1" outlineLevel="1">
      <c r="B335" s="148" t="s">
        <v>2</v>
      </c>
      <c r="C335" s="288">
        <f>C325</f>
        <v>2019</v>
      </c>
      <c r="D335" s="288"/>
      <c r="E335" s="148">
        <f>D325</f>
        <v>2020</v>
      </c>
      <c r="F335" s="148">
        <f>E325</f>
        <v>2021</v>
      </c>
      <c r="G335" s="148">
        <f>F325</f>
        <v>2022</v>
      </c>
      <c r="H335" s="148">
        <f>G325</f>
        <v>2023</v>
      </c>
      <c r="I335" s="148">
        <f>H325</f>
        <v>2024</v>
      </c>
    </row>
    <row r="336" spans="1:9" s="64" customFormat="1" ht="12.75" hidden="1" outlineLevel="1">
      <c r="A336" s="148"/>
      <c r="B336" s="64" t="s">
        <v>321</v>
      </c>
      <c r="C336" s="189">
        <f>'приложение 2'!B19</f>
        <v>-2390.32022</v>
      </c>
      <c r="D336" s="189">
        <f>'приложение 2'!B16/((1+C272/100)^1)</f>
        <v>2145.2040084887813</v>
      </c>
      <c r="E336" s="189">
        <f>'приложение 2'!G16/((1+C272/100)^2)</f>
        <v>2828.9857029835393</v>
      </c>
      <c r="F336" s="189">
        <f>'приложение 2'!L16/((1+C272/100)^3)</f>
        <v>2754.1491287208505</v>
      </c>
      <c r="G336" s="189">
        <f>'приложение 2'!Q16/((1+C272/100)^4)</f>
        <v>2683.3282838134783</v>
      </c>
      <c r="H336" s="189">
        <f>'приложение 2'!V16/((1+C272/100)^4)</f>
        <v>2819.182289511312</v>
      </c>
      <c r="I336" s="189">
        <f>'приложение 2'!AA16/((1+C272/100)^6)</f>
        <v>0</v>
      </c>
    </row>
    <row r="337" spans="1:9" s="64" customFormat="1" ht="12.75" hidden="1" outlineLevel="1">
      <c r="A337" s="148"/>
      <c r="B337" s="64" t="s">
        <v>322</v>
      </c>
      <c r="C337" s="189">
        <f>C336</f>
        <v>-2390.32022</v>
      </c>
      <c r="D337" s="189">
        <f aca="true" t="shared" si="13" ref="D337:I337">C337+D336</f>
        <v>-245.1162115112188</v>
      </c>
      <c r="E337" s="189">
        <f t="shared" si="13"/>
        <v>2583.8694914723205</v>
      </c>
      <c r="F337" s="189">
        <f t="shared" si="13"/>
        <v>5338.018620193171</v>
      </c>
      <c r="G337" s="189">
        <f t="shared" si="13"/>
        <v>8021.346904006649</v>
      </c>
      <c r="H337" s="189">
        <f t="shared" si="13"/>
        <v>10840.529193517961</v>
      </c>
      <c r="I337" s="189">
        <f t="shared" si="13"/>
        <v>10840.529193517961</v>
      </c>
    </row>
    <row r="338" spans="1:8" s="191" customFormat="1" ht="25.5" collapsed="1">
      <c r="A338" s="190"/>
      <c r="B338" s="84" t="s">
        <v>2</v>
      </c>
      <c r="C338" s="196" t="s">
        <v>312</v>
      </c>
      <c r="D338" s="196" t="s">
        <v>3</v>
      </c>
      <c r="E338" s="196" t="s">
        <v>315</v>
      </c>
      <c r="F338" s="192"/>
      <c r="G338" s="192"/>
      <c r="H338" s="192"/>
    </row>
    <row r="339" spans="1:8" s="191" customFormat="1" ht="12.75">
      <c r="A339" s="190"/>
      <c r="B339" s="85" t="s">
        <v>311</v>
      </c>
      <c r="C339" s="200">
        <f>SUM(C336:I336)</f>
        <v>10840.529193517961</v>
      </c>
      <c r="D339" s="196" t="str">
        <f>D24</f>
        <v>тыс. руб.</v>
      </c>
      <c r="E339" s="197" t="s">
        <v>316</v>
      </c>
      <c r="F339" s="192"/>
      <c r="G339" s="192"/>
      <c r="H339" s="192"/>
    </row>
    <row r="340" spans="1:5" s="191" customFormat="1" ht="12.75">
      <c r="A340" s="190"/>
      <c r="B340" s="85" t="s">
        <v>0</v>
      </c>
      <c r="C340" s="201">
        <f>SUM(D336:H336)/(-C336)</f>
        <v>5.535178635403905</v>
      </c>
      <c r="D340" s="84" t="s">
        <v>30</v>
      </c>
      <c r="E340" s="187" t="s">
        <v>317</v>
      </c>
    </row>
    <row r="341" spans="1:5" s="191" customFormat="1" ht="25.5">
      <c r="A341" s="190"/>
      <c r="B341" s="85" t="s">
        <v>1</v>
      </c>
      <c r="C341" s="202">
        <f>IRR(C336:I336)</f>
        <v>0.9955285100561118</v>
      </c>
      <c r="D341" s="84" t="s">
        <v>34</v>
      </c>
      <c r="E341" s="187" t="s">
        <v>318</v>
      </c>
    </row>
    <row r="342" spans="1:5" s="64" customFormat="1" ht="25.5" customHeight="1">
      <c r="A342" s="148"/>
      <c r="B342" s="290" t="s">
        <v>323</v>
      </c>
      <c r="C342" s="312">
        <f>(-C336)/D336</f>
        <v>1.114262424711715</v>
      </c>
      <c r="D342" s="147" t="s">
        <v>35</v>
      </c>
      <c r="E342" s="289" t="s">
        <v>320</v>
      </c>
    </row>
    <row r="343" spans="2:5" ht="25.5" customHeight="1">
      <c r="B343" s="290"/>
      <c r="C343" s="160">
        <f>C342*12</f>
        <v>13.37114909654058</v>
      </c>
      <c r="D343" s="147" t="s">
        <v>319</v>
      </c>
      <c r="E343" s="289"/>
    </row>
    <row r="344" spans="1:9" s="194" customFormat="1" ht="12.75" hidden="1" outlineLevel="1">
      <c r="A344" s="193"/>
      <c r="D344" s="195">
        <f>IF(D337&gt;0,(-C337)/D337,1)</f>
        <v>1</v>
      </c>
      <c r="E344" s="194">
        <f>IF(E337&gt;0,0,1)</f>
        <v>0</v>
      </c>
      <c r="F344" s="194">
        <f>IF(F337&gt;0,0,1)</f>
        <v>0</v>
      </c>
      <c r="G344" s="194">
        <f>IF(G337&gt;0,0,1)</f>
        <v>0</v>
      </c>
      <c r="H344" s="194">
        <f>IF(H337&gt;0,0,1)</f>
        <v>0</v>
      </c>
      <c r="I344" s="194">
        <f>IF(I337&gt;0,0,1)</f>
        <v>0</v>
      </c>
    </row>
    <row r="345" ht="12.75" hidden="1" outlineLevel="1"/>
    <row r="346" ht="12.75" collapsed="1"/>
  </sheetData>
  <sheetProtection/>
  <mergeCells count="68">
    <mergeCell ref="C335:D335"/>
    <mergeCell ref="E342:E343"/>
    <mergeCell ref="B342:B343"/>
    <mergeCell ref="F142:G142"/>
    <mergeCell ref="B59:F59"/>
    <mergeCell ref="B65:F65"/>
    <mergeCell ref="B73:F73"/>
    <mergeCell ref="B87:E87"/>
    <mergeCell ref="B97:E97"/>
    <mergeCell ref="B123:D123"/>
    <mergeCell ref="B120:D120"/>
    <mergeCell ref="B121:D121"/>
    <mergeCell ref="B122:D122"/>
    <mergeCell ref="B153:B154"/>
    <mergeCell ref="C153:C154"/>
    <mergeCell ref="D153:E153"/>
    <mergeCell ref="B142:B143"/>
    <mergeCell ref="C142:C143"/>
    <mergeCell ref="D142:E142"/>
    <mergeCell ref="F153:G153"/>
    <mergeCell ref="C171:D171"/>
    <mergeCell ref="C173:D173"/>
    <mergeCell ref="C174:D174"/>
    <mergeCell ref="C175:D175"/>
    <mergeCell ref="C176:D176"/>
    <mergeCell ref="B310:B311"/>
    <mergeCell ref="C310:F310"/>
    <mergeCell ref="C275:G275"/>
    <mergeCell ref="C282:G282"/>
    <mergeCell ref="G283:G284"/>
    <mergeCell ref="C177:D177"/>
    <mergeCell ref="B180:E180"/>
    <mergeCell ref="B181:D181"/>
    <mergeCell ref="B182:D182"/>
    <mergeCell ref="D188:E188"/>
    <mergeCell ref="B183:D183"/>
    <mergeCell ref="B184:D184"/>
    <mergeCell ref="B185:D185"/>
    <mergeCell ref="B303:B304"/>
    <mergeCell ref="C303:F303"/>
    <mergeCell ref="C296:F296"/>
    <mergeCell ref="B222:B223"/>
    <mergeCell ref="B186:D186"/>
    <mergeCell ref="B187:B188"/>
    <mergeCell ref="C187:E187"/>
    <mergeCell ref="F187:G187"/>
    <mergeCell ref="H187:I187"/>
    <mergeCell ref="D189:E189"/>
    <mergeCell ref="D190:E190"/>
    <mergeCell ref="D191:E191"/>
    <mergeCell ref="D192:E192"/>
    <mergeCell ref="D193:E193"/>
    <mergeCell ref="C194:E194"/>
    <mergeCell ref="G276:G277"/>
    <mergeCell ref="C222:D222"/>
    <mergeCell ref="B200:I200"/>
    <mergeCell ref="B195:E195"/>
    <mergeCell ref="B211:D211"/>
    <mergeCell ref="G311:G312"/>
    <mergeCell ref="B271:C271"/>
    <mergeCell ref="B282:B283"/>
    <mergeCell ref="B275:B276"/>
    <mergeCell ref="B289:B290"/>
    <mergeCell ref="C289:F289"/>
    <mergeCell ref="G297:G298"/>
    <mergeCell ref="B296:B297"/>
    <mergeCell ref="G290:G291"/>
    <mergeCell ref="G304:G305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P45"/>
  <sheetViews>
    <sheetView showZeros="0" tabSelected="1" zoomScale="80" zoomScaleNormal="80" zoomScalePageLayoutView="0" workbookViewId="0" topLeftCell="A1">
      <pane xSplit="1" ySplit="11" topLeftCell="M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A1" sqref="AA1:AE16384"/>
    </sheetView>
  </sheetViews>
  <sheetFormatPr defaultColWidth="9.140625" defaultRowHeight="12.75" outlineLevelRow="1"/>
  <cols>
    <col min="1" max="1" width="32.57421875" style="2" customWidth="1"/>
    <col min="2" max="6" width="8.140625" style="1" customWidth="1"/>
    <col min="7" max="26" width="8.140625" style="10" customWidth="1"/>
    <col min="27" max="31" width="8.140625" style="10" hidden="1" customWidth="1"/>
    <col min="32" max="32" width="8.140625" style="10" customWidth="1"/>
    <col min="33" max="33" width="9.140625" style="217" customWidth="1"/>
    <col min="34" max="36" width="10.28125" style="217" bestFit="1" customWidth="1"/>
    <col min="37" max="40" width="9.140625" style="217" customWidth="1"/>
    <col min="41" max="42" width="9.140625" style="145" customWidth="1"/>
    <col min="43" max="94" width="9.140625" style="215" customWidth="1"/>
    <col min="95" max="16384" width="9.140625" style="1" customWidth="1"/>
  </cols>
  <sheetData>
    <row r="1" spans="1:40" s="121" customFormat="1" ht="18">
      <c r="A1" s="136"/>
      <c r="B1" s="137" t="str">
        <f>'таблицы в текст'!B1</f>
        <v>НАЗВАНИЕ ПРОЕКТА:</v>
      </c>
      <c r="C1" s="138"/>
      <c r="D1" s="138"/>
      <c r="E1" s="45" t="str">
        <f>'таблицы в текст'!C1</f>
        <v>Бизнес-план создания хлебопекарни в п. ХХХ ХХХ района Республики Саха (Якутия)</v>
      </c>
      <c r="AG1" s="216"/>
      <c r="AH1" s="216"/>
      <c r="AI1" s="216"/>
      <c r="AJ1" s="216"/>
      <c r="AK1" s="216"/>
      <c r="AL1" s="216"/>
      <c r="AM1" s="216"/>
      <c r="AN1" s="216"/>
    </row>
    <row r="3" spans="1:94" s="3" customFormat="1" ht="20.25">
      <c r="A3" s="139" t="s">
        <v>260</v>
      </c>
      <c r="B3" s="140"/>
      <c r="C3" s="140"/>
      <c r="D3" s="141"/>
      <c r="E3" s="141"/>
      <c r="F3" s="141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7"/>
      <c r="AH3" s="217"/>
      <c r="AI3" s="217"/>
      <c r="AJ3" s="217"/>
      <c r="AK3" s="217"/>
      <c r="AL3" s="217"/>
      <c r="AM3" s="217"/>
      <c r="AN3" s="217"/>
      <c r="AO3" s="145"/>
      <c r="AP3" s="14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217"/>
      <c r="AH4" s="217"/>
      <c r="AI4" s="217"/>
      <c r="AJ4" s="217"/>
      <c r="AK4" s="217"/>
      <c r="AL4" s="217"/>
      <c r="AM4" s="217"/>
      <c r="AN4" s="217"/>
      <c r="AO4" s="145"/>
      <c r="AP4" s="145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3" customFormat="1" ht="18.75">
      <c r="A5" s="123" t="s">
        <v>264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217"/>
      <c r="AH5" s="217"/>
      <c r="AI5" s="217"/>
      <c r="AJ5" s="217"/>
      <c r="AK5" s="217"/>
      <c r="AL5" s="217"/>
      <c r="AM5" s="217"/>
      <c r="AN5" s="217"/>
      <c r="AO5" s="145"/>
      <c r="AP5" s="14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42" s="4" customFormat="1" ht="18.75">
      <c r="A6" s="143"/>
      <c r="D6" s="144"/>
      <c r="E6" s="144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217"/>
      <c r="AH6" s="217"/>
      <c r="AI6" s="217"/>
      <c r="AJ6" s="217"/>
      <c r="AK6" s="217"/>
      <c r="AL6" s="217"/>
      <c r="AM6" s="217"/>
      <c r="AN6" s="217"/>
      <c r="AO6" s="145"/>
      <c r="AP6" s="145"/>
    </row>
    <row r="7" spans="1:94" s="8" customFormat="1" ht="12.75">
      <c r="A7" s="294" t="s">
        <v>5</v>
      </c>
      <c r="B7" s="294">
        <f>'таблицы в текст'!D33</f>
        <v>2019</v>
      </c>
      <c r="C7" s="294"/>
      <c r="D7" s="294"/>
      <c r="E7" s="294"/>
      <c r="F7" s="294"/>
      <c r="G7" s="294">
        <f>B7+1</f>
        <v>2020</v>
      </c>
      <c r="H7" s="294"/>
      <c r="I7" s="294"/>
      <c r="J7" s="294"/>
      <c r="K7" s="294"/>
      <c r="L7" s="294">
        <f>G7+1</f>
        <v>2021</v>
      </c>
      <c r="M7" s="294"/>
      <c r="N7" s="294"/>
      <c r="O7" s="294"/>
      <c r="P7" s="294"/>
      <c r="Q7" s="294">
        <f>L7+1</f>
        <v>2022</v>
      </c>
      <c r="R7" s="294"/>
      <c r="S7" s="294"/>
      <c r="T7" s="294"/>
      <c r="U7" s="294"/>
      <c r="V7" s="295">
        <f>Q7+1</f>
        <v>2023</v>
      </c>
      <c r="W7" s="296"/>
      <c r="X7" s="296"/>
      <c r="Y7" s="296"/>
      <c r="Z7" s="297"/>
      <c r="AA7" s="154"/>
      <c r="AB7" s="295">
        <f>V7+1</f>
        <v>2024</v>
      </c>
      <c r="AC7" s="296"/>
      <c r="AD7" s="296"/>
      <c r="AE7" s="297"/>
      <c r="AF7" s="294" t="s">
        <v>10</v>
      </c>
      <c r="AG7" s="210"/>
      <c r="AH7" s="210"/>
      <c r="AI7" s="210"/>
      <c r="AJ7" s="210"/>
      <c r="AK7" s="210"/>
      <c r="AL7" s="210"/>
      <c r="AM7" s="210"/>
      <c r="AN7" s="210"/>
      <c r="AO7" s="11"/>
      <c r="AP7" s="11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s="8" customFormat="1" ht="12.75">
      <c r="A8" s="294"/>
      <c r="B8" s="294" t="s">
        <v>6</v>
      </c>
      <c r="C8" s="294" t="s">
        <v>7</v>
      </c>
      <c r="D8" s="294"/>
      <c r="E8" s="294"/>
      <c r="F8" s="294"/>
      <c r="G8" s="294" t="s">
        <v>6</v>
      </c>
      <c r="H8" s="294"/>
      <c r="I8" s="294"/>
      <c r="J8" s="294"/>
      <c r="K8" s="294"/>
      <c r="L8" s="294" t="s">
        <v>6</v>
      </c>
      <c r="M8" s="294"/>
      <c r="N8" s="294"/>
      <c r="O8" s="294"/>
      <c r="P8" s="294"/>
      <c r="Q8" s="294" t="s">
        <v>6</v>
      </c>
      <c r="R8" s="294"/>
      <c r="S8" s="294"/>
      <c r="T8" s="294"/>
      <c r="U8" s="294"/>
      <c r="V8" s="294" t="s">
        <v>6</v>
      </c>
      <c r="W8" s="294"/>
      <c r="X8" s="294"/>
      <c r="Y8" s="20"/>
      <c r="Z8" s="20"/>
      <c r="AA8" s="298"/>
      <c r="AB8" s="20"/>
      <c r="AC8" s="20"/>
      <c r="AD8" s="20"/>
      <c r="AE8" s="20"/>
      <c r="AF8" s="294"/>
      <c r="AG8" s="210"/>
      <c r="AH8" s="210"/>
      <c r="AI8" s="210"/>
      <c r="AJ8" s="210"/>
      <c r="AK8" s="210"/>
      <c r="AL8" s="210"/>
      <c r="AM8" s="210"/>
      <c r="AN8" s="210"/>
      <c r="AO8" s="11"/>
      <c r="AP8" s="11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s="8" customFormat="1" ht="12.75">
      <c r="A9" s="294"/>
      <c r="B9" s="294"/>
      <c r="C9" s="20">
        <v>1</v>
      </c>
      <c r="D9" s="20">
        <v>2</v>
      </c>
      <c r="E9" s="20">
        <v>3</v>
      </c>
      <c r="F9" s="20">
        <v>4</v>
      </c>
      <c r="G9" s="294"/>
      <c r="H9" s="20">
        <f aca="true" t="shared" si="0" ref="H9:K10">C9</f>
        <v>1</v>
      </c>
      <c r="I9" s="20">
        <f t="shared" si="0"/>
        <v>2</v>
      </c>
      <c r="J9" s="20">
        <f t="shared" si="0"/>
        <v>3</v>
      </c>
      <c r="K9" s="20">
        <f t="shared" si="0"/>
        <v>4</v>
      </c>
      <c r="L9" s="294"/>
      <c r="M9" s="20">
        <f aca="true" t="shared" si="1" ref="M9:P10">H9</f>
        <v>1</v>
      </c>
      <c r="N9" s="20">
        <f t="shared" si="1"/>
        <v>2</v>
      </c>
      <c r="O9" s="20">
        <f t="shared" si="1"/>
        <v>3</v>
      </c>
      <c r="P9" s="20">
        <f t="shared" si="1"/>
        <v>4</v>
      </c>
      <c r="Q9" s="294"/>
      <c r="R9" s="20">
        <f aca="true" t="shared" si="2" ref="R9:U10">M9</f>
        <v>1</v>
      </c>
      <c r="S9" s="20">
        <f t="shared" si="2"/>
        <v>2</v>
      </c>
      <c r="T9" s="20">
        <f t="shared" si="2"/>
        <v>3</v>
      </c>
      <c r="U9" s="20">
        <f t="shared" si="2"/>
        <v>4</v>
      </c>
      <c r="V9" s="294"/>
      <c r="W9" s="20">
        <f aca="true" t="shared" si="3" ref="W9:Z10">R9</f>
        <v>1</v>
      </c>
      <c r="X9" s="20">
        <f t="shared" si="3"/>
        <v>2</v>
      </c>
      <c r="Y9" s="20">
        <f t="shared" si="3"/>
        <v>3</v>
      </c>
      <c r="Z9" s="20">
        <f t="shared" si="3"/>
        <v>4</v>
      </c>
      <c r="AA9" s="299"/>
      <c r="AB9" s="20">
        <f>W9</f>
        <v>1</v>
      </c>
      <c r="AC9" s="20">
        <f aca="true" t="shared" si="4" ref="AC9:AE11">X9</f>
        <v>2</v>
      </c>
      <c r="AD9" s="20">
        <f t="shared" si="4"/>
        <v>3</v>
      </c>
      <c r="AE9" s="20">
        <f t="shared" si="4"/>
        <v>4</v>
      </c>
      <c r="AF9" s="294"/>
      <c r="AG9" s="210"/>
      <c r="AH9" s="210" t="s">
        <v>328</v>
      </c>
      <c r="AI9" s="210"/>
      <c r="AJ9" s="210"/>
      <c r="AK9" s="210"/>
      <c r="AL9" s="210"/>
      <c r="AM9" s="210"/>
      <c r="AN9" s="210"/>
      <c r="AO9" s="11"/>
      <c r="AP9" s="11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8" customFormat="1" ht="12.75" hidden="1">
      <c r="A10" s="20"/>
      <c r="B10" s="20">
        <f>SUM(C10:F10)</f>
        <v>308</v>
      </c>
      <c r="C10" s="20">
        <f>SUM('таблицы в текст'!C139:E139)</f>
        <v>73</v>
      </c>
      <c r="D10" s="20">
        <f>SUM('таблицы в текст'!F139:H139)</f>
        <v>78</v>
      </c>
      <c r="E10" s="20">
        <f>SUM('таблицы в текст'!I139:K139)</f>
        <v>79</v>
      </c>
      <c r="F10" s="20">
        <f>SUM('таблицы в текст'!L139:N139)</f>
        <v>78</v>
      </c>
      <c r="G10" s="20">
        <f>SUM(H10:K10)</f>
        <v>308</v>
      </c>
      <c r="H10" s="20">
        <f t="shared" si="0"/>
        <v>73</v>
      </c>
      <c r="I10" s="20">
        <f t="shared" si="0"/>
        <v>78</v>
      </c>
      <c r="J10" s="20">
        <f t="shared" si="0"/>
        <v>79</v>
      </c>
      <c r="K10" s="20">
        <f t="shared" si="0"/>
        <v>78</v>
      </c>
      <c r="L10" s="20">
        <f>SUM(M10:P10)</f>
        <v>308</v>
      </c>
      <c r="M10" s="20">
        <f t="shared" si="1"/>
        <v>73</v>
      </c>
      <c r="N10" s="20">
        <f t="shared" si="1"/>
        <v>78</v>
      </c>
      <c r="O10" s="20">
        <f t="shared" si="1"/>
        <v>79</v>
      </c>
      <c r="P10" s="20">
        <f t="shared" si="1"/>
        <v>78</v>
      </c>
      <c r="Q10" s="20">
        <f>SUM(R10:U10)</f>
        <v>308</v>
      </c>
      <c r="R10" s="20">
        <f t="shared" si="2"/>
        <v>73</v>
      </c>
      <c r="S10" s="20">
        <f t="shared" si="2"/>
        <v>78</v>
      </c>
      <c r="T10" s="20">
        <f t="shared" si="2"/>
        <v>79</v>
      </c>
      <c r="U10" s="20">
        <f t="shared" si="2"/>
        <v>78</v>
      </c>
      <c r="V10" s="20">
        <f>SUM(W10:Z10)</f>
        <v>308</v>
      </c>
      <c r="W10" s="20">
        <f t="shared" si="3"/>
        <v>73</v>
      </c>
      <c r="X10" s="20">
        <f t="shared" si="3"/>
        <v>78</v>
      </c>
      <c r="Y10" s="20">
        <f t="shared" si="3"/>
        <v>79</v>
      </c>
      <c r="Z10" s="20">
        <f t="shared" si="3"/>
        <v>78</v>
      </c>
      <c r="AA10" s="20"/>
      <c r="AB10" s="20">
        <f>W10</f>
        <v>73</v>
      </c>
      <c r="AC10" s="20">
        <f t="shared" si="4"/>
        <v>78</v>
      </c>
      <c r="AD10" s="20">
        <f t="shared" si="4"/>
        <v>79</v>
      </c>
      <c r="AE10" s="20">
        <f t="shared" si="4"/>
        <v>78</v>
      </c>
      <c r="AF10" s="20"/>
      <c r="AG10" s="210"/>
      <c r="AH10" s="210"/>
      <c r="AI10" s="210"/>
      <c r="AJ10" s="210"/>
      <c r="AK10" s="210"/>
      <c r="AL10" s="210"/>
      <c r="AM10" s="210"/>
      <c r="AN10" s="210"/>
      <c r="AO10" s="11"/>
      <c r="AP10" s="11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</row>
    <row r="11" spans="1:94" s="153" customFormat="1" ht="15" customHeight="1" hidden="1">
      <c r="A11" s="151"/>
      <c r="B11" s="151"/>
      <c r="C11" s="151"/>
      <c r="D11" s="151"/>
      <c r="E11" s="151"/>
      <c r="F11" s="151"/>
      <c r="G11" s="151"/>
      <c r="H11" s="152">
        <f>'таблицы в текст'!B134</f>
        <v>0.05</v>
      </c>
      <c r="I11" s="152">
        <f>H11</f>
        <v>0.05</v>
      </c>
      <c r="J11" s="152">
        <f>I11</f>
        <v>0.05</v>
      </c>
      <c r="K11" s="152">
        <f>J11</f>
        <v>0.05</v>
      </c>
      <c r="L11" s="151"/>
      <c r="M11" s="152">
        <f>'таблицы в текст'!C134</f>
        <v>0.02</v>
      </c>
      <c r="N11" s="152">
        <f>M11</f>
        <v>0.02</v>
      </c>
      <c r="O11" s="152">
        <f>N11</f>
        <v>0.02</v>
      </c>
      <c r="P11" s="152">
        <f>O11</f>
        <v>0.02</v>
      </c>
      <c r="Q11" s="151"/>
      <c r="R11" s="152">
        <f>'таблицы в текст'!D134</f>
        <v>0.02</v>
      </c>
      <c r="S11" s="152">
        <f>R11</f>
        <v>0.02</v>
      </c>
      <c r="T11" s="152">
        <f>S11</f>
        <v>0.02</v>
      </c>
      <c r="U11" s="152">
        <f>T11</f>
        <v>0.02</v>
      </c>
      <c r="V11" s="151"/>
      <c r="W11" s="152">
        <f>'таблицы в текст'!E134</f>
        <v>0.02</v>
      </c>
      <c r="X11" s="152">
        <f>W11</f>
        <v>0.02</v>
      </c>
      <c r="Y11" s="152">
        <f>X11</f>
        <v>0.02</v>
      </c>
      <c r="Z11" s="152">
        <f>Y11</f>
        <v>0.02</v>
      </c>
      <c r="AA11" s="152"/>
      <c r="AB11" s="150">
        <f>W11</f>
        <v>0.02</v>
      </c>
      <c r="AC11" s="150">
        <f t="shared" si="4"/>
        <v>0.02</v>
      </c>
      <c r="AD11" s="150">
        <f t="shared" si="4"/>
        <v>0.02</v>
      </c>
      <c r="AE11" s="150">
        <f t="shared" si="4"/>
        <v>0.02</v>
      </c>
      <c r="AF11" s="151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</row>
    <row r="12" spans="1:94" s="8" customFormat="1" ht="15" customHeight="1">
      <c r="A12" s="12" t="s">
        <v>265</v>
      </c>
      <c r="B12" s="28">
        <f>SUM(C12:F12)</f>
        <v>10325.7</v>
      </c>
      <c r="C12" s="28">
        <f>IF('таблицы в текст'!$D$38=1,'таблицы в текст'!$G$147/'таблицы в текст'!$O$139*'приложение 1'!C10,0)</f>
        <v>0</v>
      </c>
      <c r="D12" s="28">
        <f>IF('таблицы в текст'!$D$38&lt;3,'таблицы в текст'!$G$147*'таблицы в текст'!C130,0)</f>
        <v>3441.9</v>
      </c>
      <c r="E12" s="28">
        <f>IF('таблицы в текст'!$D$38&lt;4,'таблицы в текст'!$G$147*'таблицы в текст'!D130,0)</f>
        <v>3441.9</v>
      </c>
      <c r="F12" s="28">
        <f>IF('таблицы в текст'!$D$38&lt;5,'таблицы в текст'!$G$147*'таблицы в текст'!E130,0)</f>
        <v>3441.9</v>
      </c>
      <c r="G12" s="28">
        <f>SUM(H12:K12)</f>
        <v>14146.209000000003</v>
      </c>
      <c r="H12" s="28">
        <f>IF('таблицы в текст'!$D$38&lt;6,'таблицы в текст'!$G$147*'таблицы в текст'!B130*(100%+H11),0)*H35</f>
        <v>3613.9950000000003</v>
      </c>
      <c r="I12" s="28">
        <f>IF('таблицы в текст'!$D$38&lt;7,'таблицы в текст'!$G$147*'таблицы в текст'!C130*(100%+'таблицы в текст'!C134),0)*I35</f>
        <v>3510.7380000000003</v>
      </c>
      <c r="J12" s="28">
        <f>IF('таблицы в текст'!$D$38&lt;8,'таблицы в текст'!$G$147*'таблицы в текст'!D130*(100%+'таблицы в текст'!D134),0)*J35</f>
        <v>3510.7380000000003</v>
      </c>
      <c r="K12" s="28">
        <f>IF('таблицы в текст'!$D$38&lt;9,'таблицы в текст'!$G$147*'таблицы в текст'!E130*(100%+'таблицы в текст'!E134),0)*1</f>
        <v>3510.7380000000003</v>
      </c>
      <c r="L12" s="28">
        <f>SUM(M12:P12)</f>
        <v>14429.13318</v>
      </c>
      <c r="M12" s="28">
        <f>H12*(100%+M11)*M35</f>
        <v>3686.2749000000003</v>
      </c>
      <c r="N12" s="28">
        <f>I12*(100%+N11)*N35</f>
        <v>3580.95276</v>
      </c>
      <c r="O12" s="28">
        <f>J12*(100%+O11)*O35</f>
        <v>3580.95276</v>
      </c>
      <c r="P12" s="28">
        <f>K12*(100%+P11)*P35</f>
        <v>3580.95276</v>
      </c>
      <c r="Q12" s="28">
        <f>SUM(R12:U12)</f>
        <v>14717.715843600003</v>
      </c>
      <c r="R12" s="28">
        <f>M12*(100%+R11)*R35</f>
        <v>3760.0003980000006</v>
      </c>
      <c r="S12" s="28">
        <f>N12*(100%+S11)*S35</f>
        <v>3652.5718152000004</v>
      </c>
      <c r="T12" s="28">
        <f>O12*(100%+T11)*T35</f>
        <v>3652.5718152000004</v>
      </c>
      <c r="U12" s="28">
        <f>P12*(100%+U11)*U35</f>
        <v>3652.5718152000004</v>
      </c>
      <c r="V12" s="28">
        <f>SUM(W12:Z12)</f>
        <v>15012.070160472003</v>
      </c>
      <c r="W12" s="28">
        <f>R12*(100%+W11)*W35</f>
        <v>3835.200405960001</v>
      </c>
      <c r="X12" s="28">
        <f>S12*(100%+X11)*X35</f>
        <v>3725.6232515040006</v>
      </c>
      <c r="Y12" s="28">
        <f>T12*(100%+Y11)*Y35</f>
        <v>3725.6232515040006</v>
      </c>
      <c r="Z12" s="28">
        <f>U12*(100%+Z11)*Z35</f>
        <v>3725.6232515040006</v>
      </c>
      <c r="AA12" s="29">
        <f aca="true" t="shared" si="5" ref="AA12:AA27">SUM(AB12:AE12)</f>
        <v>0</v>
      </c>
      <c r="AB12" s="28">
        <f>IF('таблицы в текст'!$D$35&lt;2,0,W12*(100%+AB11)*AB35)</f>
        <v>0</v>
      </c>
      <c r="AC12" s="28">
        <f>IF('таблицы в текст'!$D$35&lt;3,0,X12*(100%+AC11)*AC35)</f>
        <v>0</v>
      </c>
      <c r="AD12" s="28">
        <f>IF('таблицы в текст'!$D$35&lt;4,0,Y12*(100%+AD11)*AD35)</f>
        <v>0</v>
      </c>
      <c r="AE12" s="28">
        <f>IF('таблицы в текст'!$D$35&lt;5,0,Z12*(100%+AE11)*AE35)</f>
        <v>0</v>
      </c>
      <c r="AF12" s="28">
        <f>AA12+V12+Q12+L12+G12+B12</f>
        <v>68630.828184072</v>
      </c>
      <c r="AG12" s="210"/>
      <c r="AH12" s="218">
        <f>SUM(C12:AE12)-G12-L12-Q12-V12-AA12-AF12</f>
        <v>0</v>
      </c>
      <c r="AI12" s="218"/>
      <c r="AJ12" s="219"/>
      <c r="AK12" s="210"/>
      <c r="AL12" s="210"/>
      <c r="AM12" s="210"/>
      <c r="AN12" s="210"/>
      <c r="AO12" s="11"/>
      <c r="AP12" s="11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s="8" customFormat="1" ht="15" customHeight="1">
      <c r="A13" s="12" t="s">
        <v>271</v>
      </c>
      <c r="B13" s="28">
        <f>B15+B16+B17</f>
        <v>3842.0947708321164</v>
      </c>
      <c r="C13" s="28">
        <f aca="true" t="shared" si="6" ref="C13:AE13">C15+C16+C17</f>
        <v>0</v>
      </c>
      <c r="D13" s="28">
        <f t="shared" si="6"/>
        <v>1280.6982569440388</v>
      </c>
      <c r="E13" s="28">
        <f t="shared" si="6"/>
        <v>1280.6982569440388</v>
      </c>
      <c r="F13" s="28">
        <f t="shared" si="6"/>
        <v>1280.6982569440388</v>
      </c>
      <c r="G13" s="28">
        <f t="shared" si="6"/>
        <v>5263.6698360400005</v>
      </c>
      <c r="H13" s="28">
        <f t="shared" si="6"/>
        <v>1344.733169791241</v>
      </c>
      <c r="I13" s="28">
        <f t="shared" si="6"/>
        <v>1306.3122220829198</v>
      </c>
      <c r="J13" s="28">
        <f t="shared" si="6"/>
        <v>1306.3122220829198</v>
      </c>
      <c r="K13" s="28">
        <f t="shared" si="6"/>
        <v>1306.3122220829198</v>
      </c>
      <c r="L13" s="28">
        <f t="shared" si="6"/>
        <v>5368.9432327608</v>
      </c>
      <c r="M13" s="28">
        <f t="shared" si="6"/>
        <v>1371.6278331870658</v>
      </c>
      <c r="N13" s="28">
        <f t="shared" si="6"/>
        <v>1332.4384665245782</v>
      </c>
      <c r="O13" s="28">
        <f t="shared" si="6"/>
        <v>1332.4384665245782</v>
      </c>
      <c r="P13" s="28">
        <f t="shared" si="6"/>
        <v>1332.4384665245782</v>
      </c>
      <c r="Q13" s="28">
        <f t="shared" si="6"/>
        <v>5476.322097416016</v>
      </c>
      <c r="R13" s="28">
        <f t="shared" si="6"/>
        <v>1399.0603898508073</v>
      </c>
      <c r="S13" s="28">
        <f t="shared" si="6"/>
        <v>1359.0872358550698</v>
      </c>
      <c r="T13" s="28">
        <f t="shared" si="6"/>
        <v>1359.0872358550698</v>
      </c>
      <c r="U13" s="28">
        <f t="shared" si="6"/>
        <v>1359.0872358550698</v>
      </c>
      <c r="V13" s="28">
        <f t="shared" si="6"/>
        <v>5585.848539364337</v>
      </c>
      <c r="W13" s="28">
        <f t="shared" si="6"/>
        <v>1427.0415976478234</v>
      </c>
      <c r="X13" s="28">
        <f t="shared" si="6"/>
        <v>1386.2689805721714</v>
      </c>
      <c r="Y13" s="28">
        <f t="shared" si="6"/>
        <v>1386.2689805721714</v>
      </c>
      <c r="Z13" s="28">
        <f t="shared" si="6"/>
        <v>1386.2689805721714</v>
      </c>
      <c r="AA13" s="29">
        <f t="shared" si="5"/>
        <v>0</v>
      </c>
      <c r="AB13" s="28">
        <f t="shared" si="6"/>
        <v>0</v>
      </c>
      <c r="AC13" s="28">
        <f t="shared" si="6"/>
        <v>0</v>
      </c>
      <c r="AD13" s="28">
        <f t="shared" si="6"/>
        <v>0</v>
      </c>
      <c r="AE13" s="28">
        <f t="shared" si="6"/>
        <v>0</v>
      </c>
      <c r="AF13" s="28">
        <f aca="true" t="shared" si="7" ref="AF13:AF32">AA13+V13+Q13+L13+G13+B13</f>
        <v>25536.878476413272</v>
      </c>
      <c r="AG13" s="210"/>
      <c r="AH13" s="218">
        <f aca="true" t="shared" si="8" ref="AH13:AH33">SUM(C13:AE13)-G13-L13-Q13-V13-AA13-AF13</f>
        <v>0</v>
      </c>
      <c r="AI13" s="218"/>
      <c r="AJ13" s="219"/>
      <c r="AK13" s="210"/>
      <c r="AL13" s="210"/>
      <c r="AM13" s="210"/>
      <c r="AN13" s="210"/>
      <c r="AO13" s="11"/>
      <c r="AP13" s="11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s="8" customFormat="1" ht="15" customHeight="1">
      <c r="A14" s="12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>
        <f t="shared" si="5"/>
        <v>0</v>
      </c>
      <c r="AB14" s="28"/>
      <c r="AC14" s="28"/>
      <c r="AD14" s="28"/>
      <c r="AE14" s="28"/>
      <c r="AF14" s="28">
        <f t="shared" si="7"/>
        <v>0</v>
      </c>
      <c r="AG14" s="210"/>
      <c r="AH14" s="218">
        <f t="shared" si="8"/>
        <v>0</v>
      </c>
      <c r="AI14" s="218"/>
      <c r="AJ14" s="219"/>
      <c r="AK14" s="210"/>
      <c r="AL14" s="210"/>
      <c r="AM14" s="210"/>
      <c r="AN14" s="210"/>
      <c r="AO14" s="11"/>
      <c r="AP14" s="11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</row>
    <row r="15" spans="1:94" s="8" customFormat="1" ht="15" customHeight="1">
      <c r="A15" s="156" t="str">
        <f>'таблицы в текст'!B224</f>
        <v>Материальные расходы</v>
      </c>
      <c r="B15" s="28">
        <f>SUM(C15:F15)</f>
        <v>3099.056432116788</v>
      </c>
      <c r="C15" s="28">
        <f>'таблицы в текст'!$C$224/$G$12*C12</f>
        <v>0</v>
      </c>
      <c r="D15" s="28">
        <f>'таблицы в текст'!$C$224/$G$12*D12</f>
        <v>1033.018810705596</v>
      </c>
      <c r="E15" s="28">
        <f>'таблицы в текст'!$C$224/$G$12*E12</f>
        <v>1033.018810705596</v>
      </c>
      <c r="F15" s="28">
        <f>'таблицы в текст'!$C$224/$G$12*F12</f>
        <v>1033.018810705596</v>
      </c>
      <c r="G15" s="28">
        <f>SUM(H15:K15)</f>
        <v>4245.7073120000005</v>
      </c>
      <c r="H15" s="28">
        <f>'таблицы в текст'!$C$224/$G$12*H12</f>
        <v>1084.669751240876</v>
      </c>
      <c r="I15" s="28">
        <f>'таблицы в текст'!$C$224/$G$12*I12</f>
        <v>1053.6791869197082</v>
      </c>
      <c r="J15" s="28">
        <f>'таблицы в текст'!$C$224/$G$12*J12</f>
        <v>1053.6791869197082</v>
      </c>
      <c r="K15" s="28">
        <f>'таблицы в текст'!$C$224/$G$12*K12</f>
        <v>1053.6791869197082</v>
      </c>
      <c r="L15" s="28">
        <f>SUM(M15:P15)</f>
        <v>4330.621458240001</v>
      </c>
      <c r="M15" s="28">
        <f>'таблицы в текст'!$C$224/$G$12*M12</f>
        <v>1106.3631462656936</v>
      </c>
      <c r="N15" s="28">
        <f>'таблицы в текст'!$C$224/$G$12*N12</f>
        <v>1074.7527706581022</v>
      </c>
      <c r="O15" s="28">
        <f>'таблицы в текст'!$C$224/$G$12*O12</f>
        <v>1074.7527706581022</v>
      </c>
      <c r="P15" s="28">
        <f>'таблицы в текст'!$C$224/$G$12*P12</f>
        <v>1074.7527706581022</v>
      </c>
      <c r="Q15" s="28">
        <f>SUM(R15:U15)</f>
        <v>4417.2338874048</v>
      </c>
      <c r="R15" s="28">
        <f>'таблицы в текст'!$C$224/$G$12*R12</f>
        <v>1128.4904091910075</v>
      </c>
      <c r="S15" s="28">
        <f>'таблицы в текст'!$C$224/$G$12*S12</f>
        <v>1096.2478260712644</v>
      </c>
      <c r="T15" s="28">
        <f>'таблицы в текст'!$C$224/$G$12*T12</f>
        <v>1096.2478260712644</v>
      </c>
      <c r="U15" s="28">
        <f>'таблицы в текст'!$C$224/$G$12*U12</f>
        <v>1096.2478260712644</v>
      </c>
      <c r="V15" s="28">
        <f>SUM(W15:Z15)</f>
        <v>4505.578565152897</v>
      </c>
      <c r="W15" s="28">
        <f>'таблицы в текст'!$C$224/$G$12*W12</f>
        <v>1151.0602173748277</v>
      </c>
      <c r="X15" s="28">
        <f>'таблицы в текст'!$C$224/$G$12*X12</f>
        <v>1118.1727825926896</v>
      </c>
      <c r="Y15" s="28">
        <f>'таблицы в текст'!$C$224/$G$12*Y12</f>
        <v>1118.1727825926896</v>
      </c>
      <c r="Z15" s="28">
        <f>'таблицы в текст'!$C$224/$G$12*Z12</f>
        <v>1118.1727825926896</v>
      </c>
      <c r="AA15" s="29">
        <f t="shared" si="5"/>
        <v>0</v>
      </c>
      <c r="AB15" s="28">
        <f>'таблицы в текст'!$C$224/$G$12*AB12</f>
        <v>0</v>
      </c>
      <c r="AC15" s="28">
        <f>'таблицы в текст'!$C$224/$G$12*AC12</f>
        <v>0</v>
      </c>
      <c r="AD15" s="28">
        <f>'таблицы в текст'!$C$224/$G$12*AD12</f>
        <v>0</v>
      </c>
      <c r="AE15" s="28">
        <f>'таблицы в текст'!$C$224/$G$12*AE12</f>
        <v>0</v>
      </c>
      <c r="AF15" s="28">
        <f t="shared" si="7"/>
        <v>20598.197654914486</v>
      </c>
      <c r="AG15" s="210"/>
      <c r="AH15" s="218">
        <f t="shared" si="8"/>
        <v>0</v>
      </c>
      <c r="AI15" s="218"/>
      <c r="AJ15" s="219"/>
      <c r="AK15" s="210"/>
      <c r="AL15" s="210"/>
      <c r="AM15" s="210"/>
      <c r="AN15" s="210"/>
      <c r="AO15" s="11"/>
      <c r="AP15" s="11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s="8" customFormat="1" ht="15" customHeight="1">
      <c r="A16" s="156" t="str">
        <f>'таблицы в текст'!B226</f>
        <v>Расходы на электроэнергию</v>
      </c>
      <c r="B16" s="28">
        <f>SUM(C16:F16)</f>
        <v>654.7765255474452</v>
      </c>
      <c r="C16" s="28">
        <f>'таблицы в текст'!$C$226/$G$12*C12</f>
        <v>0</v>
      </c>
      <c r="D16" s="28">
        <f>'таблицы в текст'!$C$226/$G$12*D12</f>
        <v>218.2588418491484</v>
      </c>
      <c r="E16" s="28">
        <f>'таблицы в текст'!$C$226/$G$12*E12</f>
        <v>218.2588418491484</v>
      </c>
      <c r="F16" s="28">
        <f>'таблицы в текст'!$C$226/$G$12*F12</f>
        <v>218.2588418491484</v>
      </c>
      <c r="G16" s="28">
        <f>SUM(H16:K16)</f>
        <v>897.04384</v>
      </c>
      <c r="H16" s="28">
        <f>'таблицы в текст'!$C$226/$G$12*H12</f>
        <v>229.17178394160587</v>
      </c>
      <c r="I16" s="28">
        <f>'таблицы в текст'!$C$226/$G$12*I12</f>
        <v>222.6240186861314</v>
      </c>
      <c r="J16" s="28">
        <f>'таблицы в текст'!$C$226/$G$12*J12</f>
        <v>222.6240186861314</v>
      </c>
      <c r="K16" s="28">
        <f>'таблицы в текст'!$C$226/$G$12*K12</f>
        <v>222.6240186861314</v>
      </c>
      <c r="L16" s="28">
        <f>SUM(M16:P16)</f>
        <v>914.9847168000001</v>
      </c>
      <c r="M16" s="28">
        <f>'таблицы в текст'!$C$226/$G$12*M12</f>
        <v>233.75521962043797</v>
      </c>
      <c r="N16" s="28">
        <f>'таблицы в текст'!$C$226/$G$12*N12</f>
        <v>227.07649905985403</v>
      </c>
      <c r="O16" s="28">
        <f>'таблицы в текст'!$C$226/$G$12*O12</f>
        <v>227.07649905985403</v>
      </c>
      <c r="P16" s="28">
        <f>'таблицы в текст'!$C$226/$G$12*P12</f>
        <v>227.07649905985403</v>
      </c>
      <c r="Q16" s="28">
        <f>SUM(R16:U16)</f>
        <v>933.284411136</v>
      </c>
      <c r="R16" s="28">
        <f>'таблицы в текст'!$C$226/$G$12*R12</f>
        <v>238.43032401284674</v>
      </c>
      <c r="S16" s="28">
        <f>'таблицы в текст'!$C$226/$G$12*S12</f>
        <v>231.6180290410511</v>
      </c>
      <c r="T16" s="28">
        <f>'таблицы в текст'!$C$226/$G$12*T12</f>
        <v>231.6180290410511</v>
      </c>
      <c r="U16" s="28">
        <f>'таблицы в текст'!$C$226/$G$12*U12</f>
        <v>231.6180290410511</v>
      </c>
      <c r="V16" s="28">
        <f aca="true" t="shared" si="9" ref="V16:V29">SUM(W16:Z16)</f>
        <v>951.9500993587202</v>
      </c>
      <c r="W16" s="28">
        <f>'таблицы в текст'!$C$226/$G$12*W12</f>
        <v>243.1989304931037</v>
      </c>
      <c r="X16" s="28">
        <f>'таблицы в текст'!$C$226/$G$12*X12</f>
        <v>236.25038962187216</v>
      </c>
      <c r="Y16" s="28">
        <f>'таблицы в текст'!$C$226/$G$12*Y12</f>
        <v>236.25038962187216</v>
      </c>
      <c r="Z16" s="28">
        <f>'таблицы в текст'!$C$226/$G$12*Z12</f>
        <v>236.25038962187216</v>
      </c>
      <c r="AA16" s="29">
        <f t="shared" si="5"/>
        <v>0</v>
      </c>
      <c r="AB16" s="28">
        <f>'таблицы в текст'!$C$226/$G$12*AB12</f>
        <v>0</v>
      </c>
      <c r="AC16" s="28">
        <f>'таблицы в текст'!$C$226/$G$12*AC12</f>
        <v>0</v>
      </c>
      <c r="AD16" s="28">
        <f>'таблицы в текст'!$C$226/$G$12*AD12</f>
        <v>0</v>
      </c>
      <c r="AE16" s="28">
        <f>'таблицы в текст'!$C$226/$G$12*AE12</f>
        <v>0</v>
      </c>
      <c r="AF16" s="28">
        <f t="shared" si="7"/>
        <v>4352.039592842166</v>
      </c>
      <c r="AG16" s="210"/>
      <c r="AH16" s="218">
        <f t="shared" si="8"/>
        <v>0</v>
      </c>
      <c r="AI16" s="218"/>
      <c r="AJ16" s="219"/>
      <c r="AK16" s="210"/>
      <c r="AL16" s="210"/>
      <c r="AM16" s="210"/>
      <c r="AN16" s="210"/>
      <c r="AO16" s="11"/>
      <c r="AP16" s="11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15" customHeight="1">
      <c r="A17" s="156" t="str">
        <f>'таблицы в текст'!B227</f>
        <v>Расходы на воду</v>
      </c>
      <c r="B17" s="28">
        <f>SUM(C17:F17)</f>
        <v>88.2618131678832</v>
      </c>
      <c r="C17" s="28">
        <f>'таблицы в текст'!$C$227/$G$12*C12</f>
        <v>0</v>
      </c>
      <c r="D17" s="28">
        <f>'таблицы в текст'!$C$227/$G$12*D12</f>
        <v>29.4206043892944</v>
      </c>
      <c r="E17" s="28">
        <f>'таблицы в текст'!$C$227/$G$12*E12</f>
        <v>29.4206043892944</v>
      </c>
      <c r="F17" s="28">
        <f>'таблицы в текст'!$C$227/$G$12*F12</f>
        <v>29.4206043892944</v>
      </c>
      <c r="G17" s="28">
        <f>SUM(H17:K17)</f>
        <v>120.91868403999999</v>
      </c>
      <c r="H17" s="28">
        <f>'таблицы в текст'!$C$227/$G$12*H12</f>
        <v>30.891634608759123</v>
      </c>
      <c r="I17" s="28">
        <f>'таблицы в текст'!$C$227/$G$12*I12</f>
        <v>30.009016477080287</v>
      </c>
      <c r="J17" s="28">
        <f>'таблицы в текст'!$C$227/$G$12*J12</f>
        <v>30.009016477080287</v>
      </c>
      <c r="K17" s="28">
        <f>'таблицы в текст'!$C$227/$G$12*K12</f>
        <v>30.009016477080287</v>
      </c>
      <c r="L17" s="28">
        <f>SUM(M17:P17)</f>
        <v>123.33705772079999</v>
      </c>
      <c r="M17" s="28">
        <f>'таблицы в текст'!$C$227/$G$12*M12</f>
        <v>31.509467300934304</v>
      </c>
      <c r="N17" s="28">
        <f>'таблицы в текст'!$C$227/$G$12*N12</f>
        <v>30.609196806621892</v>
      </c>
      <c r="O17" s="28">
        <f>'таблицы в текст'!$C$227/$G$12*O12</f>
        <v>30.609196806621892</v>
      </c>
      <c r="P17" s="28">
        <f>'таблицы в текст'!$C$227/$G$12*P12</f>
        <v>30.609196806621892</v>
      </c>
      <c r="Q17" s="28">
        <f>SUM(R17:U17)</f>
        <v>125.803798875216</v>
      </c>
      <c r="R17" s="28">
        <f>'таблицы в текст'!$C$227/$G$12*R12</f>
        <v>32.13965664695299</v>
      </c>
      <c r="S17" s="28">
        <f>'таблицы в текст'!$C$227/$G$12*S12</f>
        <v>31.221380742754334</v>
      </c>
      <c r="T17" s="28">
        <f>'таблицы в текст'!$C$227/$G$12*T12</f>
        <v>31.221380742754334</v>
      </c>
      <c r="U17" s="28">
        <f>'таблицы в текст'!$C$227/$G$12*U12</f>
        <v>31.221380742754334</v>
      </c>
      <c r="V17" s="28">
        <f t="shared" si="9"/>
        <v>128.31987485272032</v>
      </c>
      <c r="W17" s="28">
        <f>'таблицы в текст'!$C$227/$G$12*W12</f>
        <v>32.782449779892055</v>
      </c>
      <c r="X17" s="28">
        <f>'таблицы в текст'!$C$227/$G$12*X12</f>
        <v>31.84580835760942</v>
      </c>
      <c r="Y17" s="28">
        <f>'таблицы в текст'!$C$227/$G$12*Y12</f>
        <v>31.84580835760942</v>
      </c>
      <c r="Z17" s="28">
        <f>'таблицы в текст'!$C$227/$G$12*Z12</f>
        <v>31.84580835760942</v>
      </c>
      <c r="AA17" s="29">
        <f t="shared" si="5"/>
        <v>0</v>
      </c>
      <c r="AB17" s="28">
        <f>'таблицы в текст'!$C$227/$G$12*AB12</f>
        <v>0</v>
      </c>
      <c r="AC17" s="28">
        <f>'таблицы в текст'!$C$227/$G$12*AC12</f>
        <v>0</v>
      </c>
      <c r="AD17" s="28">
        <f>'таблицы в текст'!$C$227/$G$12*AD12</f>
        <v>0</v>
      </c>
      <c r="AE17" s="28">
        <f>'таблицы в текст'!$C$227/$G$12*AE12</f>
        <v>0</v>
      </c>
      <c r="AF17" s="28">
        <f t="shared" si="7"/>
        <v>586.6412286566195</v>
      </c>
      <c r="AG17" s="210"/>
      <c r="AH17" s="218">
        <f t="shared" si="8"/>
        <v>0</v>
      </c>
      <c r="AI17" s="218"/>
      <c r="AJ17" s="219"/>
      <c r="AK17" s="210"/>
      <c r="AL17" s="210"/>
      <c r="AM17" s="210"/>
      <c r="AN17" s="210"/>
      <c r="AO17" s="11"/>
      <c r="AP17" s="11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8" customFormat="1" ht="19.5" customHeight="1">
      <c r="A18" s="12" t="s">
        <v>273</v>
      </c>
      <c r="B18" s="28">
        <f aca="true" t="shared" si="10" ref="B18:K18">B12-B13</f>
        <v>6483.605229167884</v>
      </c>
      <c r="C18" s="28">
        <f t="shared" si="10"/>
        <v>0</v>
      </c>
      <c r="D18" s="28">
        <f t="shared" si="10"/>
        <v>2161.2017430559613</v>
      </c>
      <c r="E18" s="28">
        <f t="shared" si="10"/>
        <v>2161.2017430559613</v>
      </c>
      <c r="F18" s="28">
        <f t="shared" si="10"/>
        <v>2161.2017430559613</v>
      </c>
      <c r="G18" s="28">
        <f t="shared" si="10"/>
        <v>8882.539163960002</v>
      </c>
      <c r="H18" s="28">
        <f t="shared" si="10"/>
        <v>2269.2618302087594</v>
      </c>
      <c r="I18" s="28">
        <f t="shared" si="10"/>
        <v>2204.4257779170803</v>
      </c>
      <c r="J18" s="28">
        <f t="shared" si="10"/>
        <v>2204.4257779170803</v>
      </c>
      <c r="K18" s="28">
        <f t="shared" si="10"/>
        <v>2204.4257779170803</v>
      </c>
      <c r="L18" s="28">
        <f aca="true" t="shared" si="11" ref="L18:AE18">L12-L13</f>
        <v>9060.1899472392</v>
      </c>
      <c r="M18" s="28">
        <f t="shared" si="11"/>
        <v>2314.6470668129346</v>
      </c>
      <c r="N18" s="28">
        <f t="shared" si="11"/>
        <v>2248.514293475422</v>
      </c>
      <c r="O18" s="28">
        <f t="shared" si="11"/>
        <v>2248.514293475422</v>
      </c>
      <c r="P18" s="28">
        <f t="shared" si="11"/>
        <v>2248.514293475422</v>
      </c>
      <c r="Q18" s="28">
        <f t="shared" si="11"/>
        <v>9241.393746183987</v>
      </c>
      <c r="R18" s="28">
        <f t="shared" si="11"/>
        <v>2360.940008149193</v>
      </c>
      <c r="S18" s="28">
        <f t="shared" si="11"/>
        <v>2293.4845793449304</v>
      </c>
      <c r="T18" s="28">
        <f t="shared" si="11"/>
        <v>2293.4845793449304</v>
      </c>
      <c r="U18" s="28">
        <f t="shared" si="11"/>
        <v>2293.4845793449304</v>
      </c>
      <c r="V18" s="28">
        <f t="shared" si="9"/>
        <v>9426.221621107665</v>
      </c>
      <c r="W18" s="28">
        <f t="shared" si="11"/>
        <v>2408.1588083121774</v>
      </c>
      <c r="X18" s="28">
        <f t="shared" si="11"/>
        <v>2339.354270931829</v>
      </c>
      <c r="Y18" s="28">
        <f t="shared" si="11"/>
        <v>2339.354270931829</v>
      </c>
      <c r="Z18" s="28">
        <f t="shared" si="11"/>
        <v>2339.354270931829</v>
      </c>
      <c r="AA18" s="29">
        <f t="shared" si="5"/>
        <v>0</v>
      </c>
      <c r="AB18" s="28">
        <f t="shared" si="11"/>
        <v>0</v>
      </c>
      <c r="AC18" s="28">
        <f t="shared" si="11"/>
        <v>0</v>
      </c>
      <c r="AD18" s="28">
        <f t="shared" si="11"/>
        <v>0</v>
      </c>
      <c r="AE18" s="28">
        <f t="shared" si="11"/>
        <v>0</v>
      </c>
      <c r="AF18" s="28">
        <f t="shared" si="7"/>
        <v>43093.949707658736</v>
      </c>
      <c r="AG18" s="210"/>
      <c r="AH18" s="218">
        <f t="shared" si="8"/>
        <v>0</v>
      </c>
      <c r="AI18" s="218">
        <f>AF12-AF15-AF16-AF17-AF18</f>
        <v>0</v>
      </c>
      <c r="AJ18" s="219"/>
      <c r="AK18" s="210"/>
      <c r="AL18" s="210"/>
      <c r="AM18" s="210"/>
      <c r="AN18" s="210"/>
      <c r="AO18" s="11"/>
      <c r="AP18" s="1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8" customFormat="1" ht="19.5" customHeight="1">
      <c r="A19" s="12" t="s">
        <v>274</v>
      </c>
      <c r="B19" s="28">
        <f>B21+B22+B23+B24+B25+B26</f>
        <v>4425.801495</v>
      </c>
      <c r="C19" s="28">
        <f aca="true" t="shared" si="12" ref="C19:K19">C21+C22+C23+C24+C25+C26</f>
        <v>0</v>
      </c>
      <c r="D19" s="28">
        <f t="shared" si="12"/>
        <v>1473.8662849999998</v>
      </c>
      <c r="E19" s="28">
        <f t="shared" si="12"/>
        <v>1465.461005</v>
      </c>
      <c r="F19" s="28">
        <f>F21+F22+F23+F24+F25+F26</f>
        <v>1486.474205</v>
      </c>
      <c r="G19" s="28">
        <f>G21+G22+G23+G24+G25+G26</f>
        <v>5928.1657</v>
      </c>
      <c r="H19" s="28">
        <f>H21+H22+H23+H24+H25+H26</f>
        <v>1486.474205</v>
      </c>
      <c r="I19" s="28">
        <f t="shared" si="12"/>
        <v>1473.8662849999998</v>
      </c>
      <c r="J19" s="28">
        <f t="shared" si="12"/>
        <v>1465.461005</v>
      </c>
      <c r="K19" s="28">
        <f t="shared" si="12"/>
        <v>1502.364205</v>
      </c>
      <c r="L19" s="28">
        <f aca="true" t="shared" si="13" ref="L19:AE19">L21+L22+L23+L24+L25+L26</f>
        <v>5936.110699999999</v>
      </c>
      <c r="M19" s="28">
        <f t="shared" si="13"/>
        <v>1494.419205</v>
      </c>
      <c r="N19" s="28">
        <f t="shared" si="13"/>
        <v>1473.8662849999998</v>
      </c>
      <c r="O19" s="28">
        <f t="shared" si="13"/>
        <v>1465.461005</v>
      </c>
      <c r="P19" s="28">
        <f t="shared" si="13"/>
        <v>1502.364205</v>
      </c>
      <c r="Q19" s="28">
        <f t="shared" si="13"/>
        <v>5936.110699999999</v>
      </c>
      <c r="R19" s="28">
        <f t="shared" si="13"/>
        <v>1494.419205</v>
      </c>
      <c r="S19" s="28">
        <f t="shared" si="13"/>
        <v>1473.8662849999998</v>
      </c>
      <c r="T19" s="28">
        <f t="shared" si="13"/>
        <v>1465.461005</v>
      </c>
      <c r="U19" s="28">
        <f t="shared" si="13"/>
        <v>1502.364205</v>
      </c>
      <c r="V19" s="28">
        <f t="shared" si="9"/>
        <v>5936.110699999999</v>
      </c>
      <c r="W19" s="28">
        <f t="shared" si="13"/>
        <v>1494.419205</v>
      </c>
      <c r="X19" s="28">
        <f t="shared" si="13"/>
        <v>1473.8662849999998</v>
      </c>
      <c r="Y19" s="28">
        <f t="shared" si="13"/>
        <v>1465.461005</v>
      </c>
      <c r="Z19" s="28">
        <f t="shared" si="13"/>
        <v>1502.364205</v>
      </c>
      <c r="AA19" s="29">
        <f t="shared" si="5"/>
        <v>0</v>
      </c>
      <c r="AB19" s="28">
        <f t="shared" si="13"/>
        <v>0</v>
      </c>
      <c r="AC19" s="28">
        <f t="shared" si="13"/>
        <v>0</v>
      </c>
      <c r="AD19" s="28">
        <f t="shared" si="13"/>
        <v>0</v>
      </c>
      <c r="AE19" s="28">
        <f t="shared" si="13"/>
        <v>0</v>
      </c>
      <c r="AF19" s="28">
        <f t="shared" si="7"/>
        <v>28162.299294999997</v>
      </c>
      <c r="AG19" s="210"/>
      <c r="AH19" s="218">
        <f t="shared" si="8"/>
        <v>0</v>
      </c>
      <c r="AI19" s="218"/>
      <c r="AJ19" s="219"/>
      <c r="AK19" s="210"/>
      <c r="AL19" s="210"/>
      <c r="AM19" s="210"/>
      <c r="AN19" s="210"/>
      <c r="AO19" s="11"/>
      <c r="AP19" s="1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8" customFormat="1" ht="15.75" customHeight="1">
      <c r="A20" s="12" t="s">
        <v>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f t="shared" si="9"/>
        <v>0</v>
      </c>
      <c r="W20" s="28"/>
      <c r="X20" s="28"/>
      <c r="Y20" s="28"/>
      <c r="Z20" s="28"/>
      <c r="AA20" s="29">
        <f t="shared" si="5"/>
        <v>0</v>
      </c>
      <c r="AB20" s="28"/>
      <c r="AC20" s="28"/>
      <c r="AD20" s="28"/>
      <c r="AE20" s="28"/>
      <c r="AF20" s="28">
        <f t="shared" si="7"/>
        <v>0</v>
      </c>
      <c r="AG20" s="210"/>
      <c r="AH20" s="218">
        <f t="shared" si="8"/>
        <v>0</v>
      </c>
      <c r="AI20" s="218"/>
      <c r="AJ20" s="219"/>
      <c r="AK20" s="210"/>
      <c r="AL20" s="210"/>
      <c r="AM20" s="210"/>
      <c r="AN20" s="210"/>
      <c r="AO20" s="11"/>
      <c r="AP20" s="1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</row>
    <row r="21" spans="1:94" s="8" customFormat="1" ht="19.5" customHeight="1">
      <c r="A21" s="156" t="str">
        <f>'таблицы в текст'!B225</f>
        <v>Расходы на ФОТ</v>
      </c>
      <c r="B21" s="28">
        <f aca="true" t="shared" si="14" ref="B21:B26">SUM(C21:F21)</f>
        <v>3366.63</v>
      </c>
      <c r="C21" s="28">
        <f>IF(C12=0,0,'таблицы в текст'!$C$225*'таблицы в текст'!$B$130)</f>
        <v>0</v>
      </c>
      <c r="D21" s="28">
        <f>IF(D12=0,0,'таблицы в текст'!$C$225*'таблицы в текст'!$C$130)</f>
        <v>1122.21</v>
      </c>
      <c r="E21" s="28">
        <f>IF(E12=0,0,'таблицы в текст'!$C$225*'таблицы в текст'!$D$130)</f>
        <v>1122.21</v>
      </c>
      <c r="F21" s="28">
        <f>IF(F12=0,0,'таблицы в текст'!$C$225*'таблицы в текст'!$E$130)</f>
        <v>1122.21</v>
      </c>
      <c r="G21" s="28">
        <f aca="true" t="shared" si="15" ref="G21:G26">SUM(H21:K21)</f>
        <v>4488.84</v>
      </c>
      <c r="H21" s="28">
        <f>IF(H12=0,0,'таблицы в текст'!$C$225*'таблицы в текст'!$B$130)*H35</f>
        <v>1122.21</v>
      </c>
      <c r="I21" s="28">
        <f>IF(I12=0,0,'таблицы в текст'!$C$225*'таблицы в текст'!$B$130)*I35</f>
        <v>1122.21</v>
      </c>
      <c r="J21" s="28">
        <f>IF(J12=0,0,'таблицы в текст'!$C$225*'таблицы в текст'!$B$130)*J35</f>
        <v>1122.21</v>
      </c>
      <c r="K21" s="28">
        <f>IF(K12=0,0,'таблицы в текст'!$C$225*'таблицы в текст'!$B$130)*K35</f>
        <v>1122.21</v>
      </c>
      <c r="L21" s="28">
        <f aca="true" t="shared" si="16" ref="L21:L26">SUM(M21:P21)</f>
        <v>4488.84</v>
      </c>
      <c r="M21" s="28">
        <f>IF(M12=0,0,'таблицы в текст'!$C$225*'таблицы в текст'!$B$130)*M35</f>
        <v>1122.21</v>
      </c>
      <c r="N21" s="28">
        <f>IF(N12=0,0,'таблицы в текст'!$C$225*'таблицы в текст'!$B$130)*N35</f>
        <v>1122.21</v>
      </c>
      <c r="O21" s="28">
        <f>IF(O12=0,0,'таблицы в текст'!$C$225*'таблицы в текст'!$B$130)*O35</f>
        <v>1122.21</v>
      </c>
      <c r="P21" s="28">
        <f>IF(P12=0,0,'таблицы в текст'!$C$225*'таблицы в текст'!$B$130)*P35</f>
        <v>1122.21</v>
      </c>
      <c r="Q21" s="28">
        <f aca="true" t="shared" si="17" ref="Q21:Q26">SUM(R21:U21)</f>
        <v>4488.84</v>
      </c>
      <c r="R21" s="28">
        <f>IF(R12=0,0,'таблицы в текст'!$C$225*'таблицы в текст'!$B$130)*R35</f>
        <v>1122.21</v>
      </c>
      <c r="S21" s="28">
        <f>IF(S12=0,0,'таблицы в текст'!$C$225*'таблицы в текст'!$B$130)*S35</f>
        <v>1122.21</v>
      </c>
      <c r="T21" s="28">
        <f>IF(T12=0,0,'таблицы в текст'!$C$225*'таблицы в текст'!$B$130)*T35</f>
        <v>1122.21</v>
      </c>
      <c r="U21" s="28">
        <f>IF(U12=0,0,'таблицы в текст'!$C$225*'таблицы в текст'!$B$130)*U35</f>
        <v>1122.21</v>
      </c>
      <c r="V21" s="28">
        <f t="shared" si="9"/>
        <v>4488.84</v>
      </c>
      <c r="W21" s="28">
        <f>IF(W12=0,0,'таблицы в текст'!$C$225*'таблицы в текст'!$B$130)*W35</f>
        <v>1122.21</v>
      </c>
      <c r="X21" s="28">
        <f>IF(X12=0,0,'таблицы в текст'!$C$225*'таблицы в текст'!$B$130)*X35</f>
        <v>1122.21</v>
      </c>
      <c r="Y21" s="28">
        <f>IF(Y12=0,0,'таблицы в текст'!$C$225*'таблицы в текст'!$B$130)*Y35</f>
        <v>1122.21</v>
      </c>
      <c r="Z21" s="28">
        <f>IF(Z12=0,0,'таблицы в текст'!$C$225*'таблицы в текст'!$B$130)*Z35</f>
        <v>1122.21</v>
      </c>
      <c r="AA21" s="29">
        <f t="shared" si="5"/>
        <v>0</v>
      </c>
      <c r="AB21" s="28">
        <f>IF(AB12=0,0,'таблицы в текст'!$C$225*'таблицы в текст'!$B$130)*AB35</f>
        <v>0</v>
      </c>
      <c r="AC21" s="28">
        <f>IF(AC12=0,0,'таблицы в текст'!$C$225*'таблицы в текст'!$B$130)*AC35</f>
        <v>0</v>
      </c>
      <c r="AD21" s="28">
        <f>IF(AD12=0,0,'таблицы в текст'!$C$225*'таблицы в текст'!$B$130)*AD35</f>
        <v>0</v>
      </c>
      <c r="AE21" s="28">
        <f>IF(AE12=0,0,'таблицы в текст'!$C$225*'таблицы в текст'!$B$130)*AE35</f>
        <v>0</v>
      </c>
      <c r="AF21" s="28">
        <f t="shared" si="7"/>
        <v>21321.99</v>
      </c>
      <c r="AG21" s="210"/>
      <c r="AH21" s="218">
        <f t="shared" si="8"/>
        <v>0</v>
      </c>
      <c r="AI21" s="218"/>
      <c r="AJ21" s="219"/>
      <c r="AK21" s="210"/>
      <c r="AL21" s="210"/>
      <c r="AM21" s="210"/>
      <c r="AN21" s="210"/>
      <c r="AO21" s="11"/>
      <c r="AP21" s="11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s="8" customFormat="1" ht="19.5" customHeight="1">
      <c r="A22" s="156" t="str">
        <f>'таблицы в текст'!B228</f>
        <v>Расходы на отопление</v>
      </c>
      <c r="B22" s="28">
        <f t="shared" si="14"/>
        <v>42.02640000000001</v>
      </c>
      <c r="C22" s="28">
        <f>IF(C12=0,0,'таблицы в текст'!$C$228*'таблицы в текст'!$B$130)</f>
        <v>0</v>
      </c>
      <c r="D22" s="28">
        <f>IF(D12=0,0,'таблицы в текст'!$C$228/8*1.5)</f>
        <v>12.607920000000002</v>
      </c>
      <c r="E22" s="28">
        <f>IF(E12=0,0,'таблицы в текст'!$C$228/8*0.5)</f>
        <v>4.202640000000001</v>
      </c>
      <c r="F22" s="28">
        <f>IF(F12=0,0,'таблицы в текст'!$C$228/8*3)</f>
        <v>25.215840000000004</v>
      </c>
      <c r="G22" s="28">
        <f t="shared" si="15"/>
        <v>67.24224000000001</v>
      </c>
      <c r="H22" s="28">
        <f>IF(H12=0,0,'таблицы в текст'!$C$228/8*3)*H37</f>
        <v>25.215840000000004</v>
      </c>
      <c r="I22" s="28">
        <f>IF(I12=0,0,'таблицы в текст'!$C$228/8*1.5)*I37</f>
        <v>12.607920000000002</v>
      </c>
      <c r="J22" s="28">
        <f>IF(J12=0,0,'таблицы в текст'!$C$228/8*0.5)*J37</f>
        <v>4.202640000000001</v>
      </c>
      <c r="K22" s="28">
        <f>IF(K12=0,0,'таблицы в текст'!$C$228/8*3)*K37</f>
        <v>25.215840000000004</v>
      </c>
      <c r="L22" s="28">
        <f t="shared" si="16"/>
        <v>67.24224000000001</v>
      </c>
      <c r="M22" s="28">
        <f>IF(M12=0,0,'таблицы в текст'!$C$228/8*3)*M37</f>
        <v>25.215840000000004</v>
      </c>
      <c r="N22" s="28">
        <f>IF(N12=0,0,'таблицы в текст'!$C$228/8*1.5)*N37</f>
        <v>12.607920000000002</v>
      </c>
      <c r="O22" s="28">
        <f>IF(O12=0,0,'таблицы в текст'!$C$228/8*0.5)*O37</f>
        <v>4.202640000000001</v>
      </c>
      <c r="P22" s="28">
        <f>IF(P12=0,0,'таблицы в текст'!$C$228/8*3)*P37</f>
        <v>25.215840000000004</v>
      </c>
      <c r="Q22" s="28">
        <f t="shared" si="17"/>
        <v>67.24224000000001</v>
      </c>
      <c r="R22" s="28">
        <f>IF(R12=0,0,'таблицы в текст'!$C$228/8*3)*R37</f>
        <v>25.215840000000004</v>
      </c>
      <c r="S22" s="28">
        <f>IF(S12=0,0,'таблицы в текст'!$C$228/8*1.5)*S37</f>
        <v>12.607920000000002</v>
      </c>
      <c r="T22" s="28">
        <f>IF(T12=0,0,'таблицы в текст'!$C$228/8*0.5)*T37</f>
        <v>4.202640000000001</v>
      </c>
      <c r="U22" s="28">
        <f>IF(U12=0,0,'таблицы в текст'!$C$228/8*3)*U37</f>
        <v>25.215840000000004</v>
      </c>
      <c r="V22" s="28">
        <f t="shared" si="9"/>
        <v>67.24224000000001</v>
      </c>
      <c r="W22" s="28">
        <f>IF(W12=0,0,'таблицы в текст'!$C$228/8*3)*W37</f>
        <v>25.215840000000004</v>
      </c>
      <c r="X22" s="28">
        <f>IF(X12=0,0,'таблицы в текст'!$C$228/8*1.5)*X37</f>
        <v>12.607920000000002</v>
      </c>
      <c r="Y22" s="28">
        <f>IF(Y12=0,0,'таблицы в текст'!$C$228/8*0.5)*Y37</f>
        <v>4.202640000000001</v>
      </c>
      <c r="Z22" s="28">
        <f>IF(Z12=0,0,'таблицы в текст'!$C$228/8*3)*Z37</f>
        <v>25.215840000000004</v>
      </c>
      <c r="AA22" s="29">
        <f t="shared" si="5"/>
        <v>0</v>
      </c>
      <c r="AB22" s="28">
        <f>IF(AB12=0,0,'таблицы в текст'!$C$228*'таблицы в текст'!$B$130)*AB37</f>
        <v>0</v>
      </c>
      <c r="AC22" s="28">
        <f>IF(AC12=0,0,'таблицы в текст'!$C$228/8*1.5)*AC37</f>
        <v>0</v>
      </c>
      <c r="AD22" s="28">
        <f>IF(AD12=0,0,'таблицы в текст'!$C$228/8*0.5)*AD37</f>
        <v>0</v>
      </c>
      <c r="AE22" s="28">
        <f>IF(AE12=0,0,'таблицы в текст'!$C$228/8*3)*AE37</f>
        <v>0</v>
      </c>
      <c r="AF22" s="28">
        <f t="shared" si="7"/>
        <v>310.99536000000006</v>
      </c>
      <c r="AG22" s="210"/>
      <c r="AH22" s="218">
        <f t="shared" si="8"/>
        <v>0</v>
      </c>
      <c r="AI22" s="218"/>
      <c r="AJ22" s="219"/>
      <c r="AK22" s="210"/>
      <c r="AL22" s="210"/>
      <c r="AM22" s="210"/>
      <c r="AN22" s="210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s="8" customFormat="1" ht="19.5" customHeight="1">
      <c r="A23" s="156" t="str">
        <f>'таблицы в текст'!B229</f>
        <v>Расходы на аренду</v>
      </c>
      <c r="B23" s="28">
        <f t="shared" si="14"/>
        <v>648</v>
      </c>
      <c r="C23" s="28">
        <f>IF(C12=0,0,'таблицы в текст'!$C$229*'таблицы в текст'!$B$130)</f>
        <v>0</v>
      </c>
      <c r="D23" s="28">
        <f>IF(D12=0,0,'таблицы в текст'!$C$229*'таблицы в текст'!$C$130)</f>
        <v>216</v>
      </c>
      <c r="E23" s="28">
        <f>IF(E12=0,0,'таблицы в текст'!$C$229*'таблицы в текст'!$D$130)</f>
        <v>216</v>
      </c>
      <c r="F23" s="28">
        <f>IF(F12=0,0,'таблицы в текст'!$C$229*'таблицы в текст'!$E$130)</f>
        <v>216</v>
      </c>
      <c r="G23" s="28">
        <f t="shared" si="15"/>
        <v>864</v>
      </c>
      <c r="H23" s="28">
        <f>IF(H12=0,0,'таблицы в текст'!$C$229*'таблицы в текст'!$B$130)*H35</f>
        <v>216</v>
      </c>
      <c r="I23" s="28">
        <f>IF(I12=0,0,'таблицы в текст'!$C$229*'таблицы в текст'!$C$130)*I35</f>
        <v>216</v>
      </c>
      <c r="J23" s="28">
        <f>IF(J12=0,0,'таблицы в текст'!$C$229*'таблицы в текст'!$C$130)*J35</f>
        <v>216</v>
      </c>
      <c r="K23" s="28">
        <f>IF(K12=0,0,'таблицы в текст'!$C$229*'таблицы в текст'!$C$130)*K35</f>
        <v>216</v>
      </c>
      <c r="L23" s="28">
        <f t="shared" si="16"/>
        <v>864</v>
      </c>
      <c r="M23" s="28">
        <f>IF(M12=0,0,'таблицы в текст'!$C$229*'таблицы в текст'!$B$130)*M35</f>
        <v>216</v>
      </c>
      <c r="N23" s="28">
        <f>IF(N12=0,0,'таблицы в текст'!$C$229*'таблицы в текст'!$C$130)*N35</f>
        <v>216</v>
      </c>
      <c r="O23" s="28">
        <f>IF(O12=0,0,'таблицы в текст'!$C$229*'таблицы в текст'!$C$130)*O35</f>
        <v>216</v>
      </c>
      <c r="P23" s="28">
        <f>IF(P12=0,0,'таблицы в текст'!$C$229*'таблицы в текст'!$C$130)*P35</f>
        <v>216</v>
      </c>
      <c r="Q23" s="28">
        <f t="shared" si="17"/>
        <v>864</v>
      </c>
      <c r="R23" s="28">
        <f>IF(R12=0,0,'таблицы в текст'!$C$229*'таблицы в текст'!$B$130)*R35</f>
        <v>216</v>
      </c>
      <c r="S23" s="28">
        <f>IF(S12=0,0,'таблицы в текст'!$C$229*'таблицы в текст'!$C$130)*S35</f>
        <v>216</v>
      </c>
      <c r="T23" s="28">
        <f>IF(T12=0,0,'таблицы в текст'!$C$229*'таблицы в текст'!$C$130)*T35</f>
        <v>216</v>
      </c>
      <c r="U23" s="28">
        <f>IF(U12=0,0,'таблицы в текст'!$C$229*'таблицы в текст'!$C$130)*U35</f>
        <v>216</v>
      </c>
      <c r="V23" s="28">
        <f t="shared" si="9"/>
        <v>864</v>
      </c>
      <c r="W23" s="28">
        <f>IF(W12=0,0,'таблицы в текст'!$C$229*'таблицы в текст'!$B$130)*W35</f>
        <v>216</v>
      </c>
      <c r="X23" s="28">
        <f>IF(X12=0,0,'таблицы в текст'!$C$229*'таблицы в текст'!$C$130)*X35</f>
        <v>216</v>
      </c>
      <c r="Y23" s="28">
        <f>IF(Y12=0,0,'таблицы в текст'!$C$229*'таблицы в текст'!$C$130)*Y35</f>
        <v>216</v>
      </c>
      <c r="Z23" s="28">
        <f>IF(Z12=0,0,'таблицы в текст'!$C$229*'таблицы в текст'!$C$130)*Z35</f>
        <v>216</v>
      </c>
      <c r="AA23" s="29">
        <f t="shared" si="5"/>
        <v>0</v>
      </c>
      <c r="AB23" s="28">
        <f>IF(AB12=0,0,'таблицы в текст'!$C$229*'таблицы в текст'!$B$130)*AB35</f>
        <v>0</v>
      </c>
      <c r="AC23" s="28">
        <f>IF(AC12=0,0,'таблицы в текст'!$C$229*'таблицы в текст'!$C$130)*AC35</f>
        <v>0</v>
      </c>
      <c r="AD23" s="28">
        <f>IF(AD12=0,0,'таблицы в текст'!$C$229*'таблицы в текст'!$C$130)*AD35</f>
        <v>0</v>
      </c>
      <c r="AE23" s="28">
        <f>IF(AE12=0,0,'таблицы в текст'!$C$229*'таблицы в текст'!$C$130)*AE35</f>
        <v>0</v>
      </c>
      <c r="AF23" s="28">
        <f t="shared" si="7"/>
        <v>4104</v>
      </c>
      <c r="AG23" s="210"/>
      <c r="AH23" s="218">
        <f t="shared" si="8"/>
        <v>0</v>
      </c>
      <c r="AI23" s="218"/>
      <c r="AJ23" s="219"/>
      <c r="AK23" s="210"/>
      <c r="AL23" s="210"/>
      <c r="AM23" s="210"/>
      <c r="AN23" s="210"/>
      <c r="AO23" s="11"/>
      <c r="AP23" s="11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s="8" customFormat="1" ht="19.5" customHeight="1">
      <c r="A24" s="156" t="str">
        <f>'таблицы в текст'!B230</f>
        <v>Амортизация</v>
      </c>
      <c r="B24" s="28">
        <f t="shared" si="14"/>
        <v>259.016595</v>
      </c>
      <c r="C24" s="28">
        <f>IF(C12=0,0,'таблицы в текст'!$C$230*'таблицы в текст'!$B$130)</f>
        <v>0</v>
      </c>
      <c r="D24" s="28">
        <f>IF(D12=0,0,'таблицы в текст'!$C$230*'таблицы в текст'!$C$130)</f>
        <v>86.338865</v>
      </c>
      <c r="E24" s="28">
        <f>IF(E12=0,0,'таблицы в текст'!$C$230*'таблицы в текст'!$D$130)</f>
        <v>86.338865</v>
      </c>
      <c r="F24" s="28">
        <f>IF(F12=0,0,'таблицы в текст'!$C$230*'таблицы в текст'!$E$130)</f>
        <v>86.338865</v>
      </c>
      <c r="G24" s="28">
        <f t="shared" si="15"/>
        <v>345.35546</v>
      </c>
      <c r="H24" s="28">
        <f>IF(H12=0,0,'таблицы в текст'!$C$230*'таблицы в текст'!$B$130)</f>
        <v>86.338865</v>
      </c>
      <c r="I24" s="28">
        <f>IF(I12=0,0,'таблицы в текст'!$C$230*'таблицы в текст'!$C$130)</f>
        <v>86.338865</v>
      </c>
      <c r="J24" s="28">
        <f>IF(J12=0,0,'таблицы в текст'!$C$230*'таблицы в текст'!$D$130)</f>
        <v>86.338865</v>
      </c>
      <c r="K24" s="28">
        <f>IF(K12=0,0,'таблицы в текст'!$C$230*'таблицы в текст'!$E$130)</f>
        <v>86.338865</v>
      </c>
      <c r="L24" s="28">
        <f t="shared" si="16"/>
        <v>345.35546</v>
      </c>
      <c r="M24" s="28">
        <f>IF(M12=0,0,'таблицы в текст'!$C$230*'таблицы в текст'!$B$130)</f>
        <v>86.338865</v>
      </c>
      <c r="N24" s="28">
        <f>IF(N12=0,0,'таблицы в текст'!$C$230*'таблицы в текст'!$C$130)</f>
        <v>86.338865</v>
      </c>
      <c r="O24" s="28">
        <f>IF(O12=0,0,'таблицы в текст'!$C$230*'таблицы в текст'!$D$130)</f>
        <v>86.338865</v>
      </c>
      <c r="P24" s="28">
        <f>IF(P12=0,0,'таблицы в текст'!$C$230*'таблицы в текст'!$E$130)</f>
        <v>86.338865</v>
      </c>
      <c r="Q24" s="28">
        <f t="shared" si="17"/>
        <v>345.35546</v>
      </c>
      <c r="R24" s="28">
        <f>IF(R12=0,0,'таблицы в текст'!$C$230*'таблицы в текст'!$B$130)</f>
        <v>86.338865</v>
      </c>
      <c r="S24" s="28">
        <f>IF(S12=0,0,'таблицы в текст'!$C$230*'таблицы в текст'!$C$130)</f>
        <v>86.338865</v>
      </c>
      <c r="T24" s="28">
        <f>IF(T12=0,0,'таблицы в текст'!$C$230*'таблицы в текст'!$D$130)</f>
        <v>86.338865</v>
      </c>
      <c r="U24" s="28">
        <f>IF(U12=0,0,'таблицы в текст'!$C$230*'таблицы в текст'!$E$130)</f>
        <v>86.338865</v>
      </c>
      <c r="V24" s="28">
        <f t="shared" si="9"/>
        <v>345.35546</v>
      </c>
      <c r="W24" s="28">
        <f>IF(W12=0,0,'таблицы в текст'!$C$230*'таблицы в текст'!$B$130)</f>
        <v>86.338865</v>
      </c>
      <c r="X24" s="28">
        <f>IF(X12=0,0,'таблицы в текст'!$C$230*'таблицы в текст'!$C$130)</f>
        <v>86.338865</v>
      </c>
      <c r="Y24" s="28">
        <f>IF(Y12=0,0,'таблицы в текст'!$C$230*'таблицы в текст'!$D$130)</f>
        <v>86.338865</v>
      </c>
      <c r="Z24" s="28">
        <f>IF(Z12=0,0,'таблицы в текст'!$C$230*'таблицы в текст'!$E$130)</f>
        <v>86.338865</v>
      </c>
      <c r="AA24" s="29">
        <f t="shared" si="5"/>
        <v>0</v>
      </c>
      <c r="AB24" s="28">
        <f>IF(AB12=0,0,'таблицы в текст'!$C$230*'таблицы в текст'!$B$130)</f>
        <v>0</v>
      </c>
      <c r="AC24" s="28">
        <f>IF(AC12=0,0,'таблицы в текст'!$C$230*'таблицы в текст'!$C$130)</f>
        <v>0</v>
      </c>
      <c r="AD24" s="28">
        <f>IF(AD12=0,0,'таблицы в текст'!$C$230*'таблицы в текст'!$D$130)</f>
        <v>0</v>
      </c>
      <c r="AE24" s="28">
        <f>IF(AE12=0,0,'таблицы в текст'!$C$230*'таблицы в текст'!$E$130)</f>
        <v>0</v>
      </c>
      <c r="AF24" s="28">
        <f t="shared" si="7"/>
        <v>1640.438435</v>
      </c>
      <c r="AG24" s="210"/>
      <c r="AH24" s="218">
        <f t="shared" si="8"/>
        <v>0</v>
      </c>
      <c r="AI24" s="218"/>
      <c r="AJ24" s="219"/>
      <c r="AK24" s="210"/>
      <c r="AL24" s="210"/>
      <c r="AM24" s="210"/>
      <c r="AN24" s="210"/>
      <c r="AO24" s="11"/>
      <c r="AP24" s="11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</row>
    <row r="25" spans="1:94" s="8" customFormat="1" ht="19.5" customHeight="1">
      <c r="A25" s="156" t="str">
        <f>'таблицы в текст'!B231</f>
        <v>Прочие расходы</v>
      </c>
      <c r="B25" s="28">
        <f t="shared" si="14"/>
        <v>110.12850000000002</v>
      </c>
      <c r="C25" s="28">
        <f>IF(C12=0,0,'таблицы в текст'!$C$231*'таблицы в текст'!$B$130)</f>
        <v>0</v>
      </c>
      <c r="D25" s="28">
        <f>IF(D12=0,0,'таблицы в текст'!$C$231*'таблицы в текст'!$C$130)</f>
        <v>36.709500000000006</v>
      </c>
      <c r="E25" s="28">
        <f>IF(E12=0,0,'таблицы в текст'!$C$231*'таблицы в текст'!$D$130)</f>
        <v>36.709500000000006</v>
      </c>
      <c r="F25" s="28">
        <f>IF(F12=0,0,'таблицы в текст'!$C$231*'таблицы в текст'!$E$130)</f>
        <v>36.709500000000006</v>
      </c>
      <c r="G25" s="28">
        <f t="shared" si="15"/>
        <v>146.83800000000002</v>
      </c>
      <c r="H25" s="28">
        <f>IF(H12=0,0,'таблицы в текст'!$C$231*'таблицы в текст'!$B$130)*H35</f>
        <v>36.709500000000006</v>
      </c>
      <c r="I25" s="28">
        <f>IF(I12=0,0,'таблицы в текст'!$C$231*'таблицы в текст'!$B$130)*I35</f>
        <v>36.709500000000006</v>
      </c>
      <c r="J25" s="28">
        <f>IF(J12=0,0,'таблицы в текст'!$C$231*'таблицы в текст'!$B$130)*J35</f>
        <v>36.709500000000006</v>
      </c>
      <c r="K25" s="28">
        <f>IF(K12=0,0,'таблицы в текст'!$C$231*'таблицы в текст'!$B$130)*K35</f>
        <v>36.709500000000006</v>
      </c>
      <c r="L25" s="28">
        <f t="shared" si="16"/>
        <v>146.83800000000002</v>
      </c>
      <c r="M25" s="28">
        <f>IF(M12=0,0,'таблицы в текст'!$C$231*'таблицы в текст'!$B$130)*M35</f>
        <v>36.709500000000006</v>
      </c>
      <c r="N25" s="28">
        <f>IF(N12=0,0,'таблицы в текст'!$C$231*'таблицы в текст'!$B$130)*N35</f>
        <v>36.709500000000006</v>
      </c>
      <c r="O25" s="28">
        <f>IF(O12=0,0,'таблицы в текст'!$C$231*'таблицы в текст'!$B$130)*O35</f>
        <v>36.709500000000006</v>
      </c>
      <c r="P25" s="28">
        <f>IF(P12=0,0,'таблицы в текст'!$C$231*'таблицы в текст'!$B$130)*P35</f>
        <v>36.709500000000006</v>
      </c>
      <c r="Q25" s="28">
        <f t="shared" si="17"/>
        <v>146.83800000000002</v>
      </c>
      <c r="R25" s="28">
        <f>IF(R12=0,0,'таблицы в текст'!$C$231*'таблицы в текст'!$B$130)*R35</f>
        <v>36.709500000000006</v>
      </c>
      <c r="S25" s="28">
        <f>IF(S12=0,0,'таблицы в текст'!$C$231*'таблицы в текст'!$B$130)*S35</f>
        <v>36.709500000000006</v>
      </c>
      <c r="T25" s="28">
        <f>IF(T12=0,0,'таблицы в текст'!$C$231*'таблицы в текст'!$B$130)*T35</f>
        <v>36.709500000000006</v>
      </c>
      <c r="U25" s="28">
        <f>IF(U12=0,0,'таблицы в текст'!$C$231*'таблицы в текст'!$B$130)*U35</f>
        <v>36.709500000000006</v>
      </c>
      <c r="V25" s="28">
        <f t="shared" si="9"/>
        <v>146.83800000000002</v>
      </c>
      <c r="W25" s="28">
        <f>IF(W12=0,0,'таблицы в текст'!$C$231*'таблицы в текст'!$B$130)*W35</f>
        <v>36.709500000000006</v>
      </c>
      <c r="X25" s="28">
        <f>IF(X12=0,0,'таблицы в текст'!$C$231*'таблицы в текст'!$B$130)*X35</f>
        <v>36.709500000000006</v>
      </c>
      <c r="Y25" s="28">
        <f>IF(Y12=0,0,'таблицы в текст'!$C$231*'таблицы в текст'!$B$130)*Y35</f>
        <v>36.709500000000006</v>
      </c>
      <c r="Z25" s="28">
        <f>IF(Z12=0,0,'таблицы в текст'!$C$231*'таблицы в текст'!$B$130)*Z35</f>
        <v>36.709500000000006</v>
      </c>
      <c r="AA25" s="29">
        <f t="shared" si="5"/>
        <v>0</v>
      </c>
      <c r="AB25" s="28">
        <f>IF(AB12=0,0,'таблицы в текст'!$C$231*'таблицы в текст'!$B$130)*AB35</f>
        <v>0</v>
      </c>
      <c r="AC25" s="28">
        <f>IF(AC12=0,0,'таблицы в текст'!$C$231*'таблицы в текст'!$B$130)*AC35</f>
        <v>0</v>
      </c>
      <c r="AD25" s="28">
        <f>IF(AD12=0,0,'таблицы в текст'!$C$231*'таблицы в текст'!$B$130)*AD35</f>
        <v>0</v>
      </c>
      <c r="AE25" s="28">
        <f>IF(AE12=0,0,'таблицы в текст'!$C$231*'таблицы в текст'!$B$130)*AE35</f>
        <v>0</v>
      </c>
      <c r="AF25" s="28">
        <f t="shared" si="7"/>
        <v>697.4805000000001</v>
      </c>
      <c r="AG25" s="210"/>
      <c r="AH25" s="218">
        <f t="shared" si="8"/>
        <v>0</v>
      </c>
      <c r="AI25" s="218"/>
      <c r="AJ25" s="219"/>
      <c r="AK25" s="210"/>
      <c r="AL25" s="210"/>
      <c r="AM25" s="210"/>
      <c r="AN25" s="210"/>
      <c r="AO25" s="11"/>
      <c r="AP25" s="11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</row>
    <row r="26" spans="1:94" s="8" customFormat="1" ht="29.25" customHeight="1">
      <c r="A26" s="156" t="s">
        <v>281</v>
      </c>
      <c r="B26" s="28">
        <f t="shared" si="14"/>
        <v>0</v>
      </c>
      <c r="C26" s="28">
        <f>IF(C12=0,0,'таблицы в текст'!$C$241+'таблицы в текст'!$C$242)</f>
        <v>0</v>
      </c>
      <c r="D26" s="28">
        <f>IF(D12=0,0,'таблицы в текст'!$D$241+'таблицы в текст'!$D$242)</f>
        <v>0</v>
      </c>
      <c r="E26" s="28">
        <f>IF(E12=0,0,'таблицы в текст'!$E$241+'таблицы в текст'!$E$242)</f>
        <v>0</v>
      </c>
      <c r="F26" s="28">
        <v>0</v>
      </c>
      <c r="G26" s="28">
        <f t="shared" si="15"/>
        <v>15.89</v>
      </c>
      <c r="H26" s="28">
        <v>0</v>
      </c>
      <c r="I26" s="28">
        <f>IF(I12=0,0,'таблицы в текст'!$D$241+'таблицы в текст'!$D$242)</f>
        <v>0</v>
      </c>
      <c r="J26" s="28">
        <f>IF(J12=0,0,'таблицы в текст'!$E$241+'таблицы в текст'!$E$242)</f>
        <v>0</v>
      </c>
      <c r="K26" s="28">
        <f>IF(K12=0,0,'таблицы в текст'!$F$241+'таблицы в текст'!$F$242)</f>
        <v>15.89</v>
      </c>
      <c r="L26" s="28">
        <f t="shared" si="16"/>
        <v>23.835</v>
      </c>
      <c r="M26" s="28">
        <f>IF(M12=0,0,'таблицы в текст'!$C$241+'таблицы в текст'!$C$242)</f>
        <v>7.945</v>
      </c>
      <c r="N26" s="28">
        <f>IF(N12=0,0,'таблицы в текст'!$D$241+'таблицы в текст'!$D$242)</f>
        <v>0</v>
      </c>
      <c r="O26" s="28">
        <f>IF(O12=0,0,'таблицы в текст'!$E$241+'таблицы в текст'!$E$242)</f>
        <v>0</v>
      </c>
      <c r="P26" s="28">
        <f>IF(P12=0,0,'таблицы в текст'!$F$241+'таблицы в текст'!$F$242)</f>
        <v>15.89</v>
      </c>
      <c r="Q26" s="28">
        <f t="shared" si="17"/>
        <v>23.835</v>
      </c>
      <c r="R26" s="28">
        <f>IF(R12=0,0,'таблицы в текст'!$C$241+'таблицы в текст'!$C$242)</f>
        <v>7.945</v>
      </c>
      <c r="S26" s="28">
        <f>IF(S12=0,0,'таблицы в текст'!$D$241+'таблицы в текст'!$D$242)</f>
        <v>0</v>
      </c>
      <c r="T26" s="28">
        <f>IF(T12=0,0,'таблицы в текст'!$E$241+'таблицы в текст'!$E$242)</f>
        <v>0</v>
      </c>
      <c r="U26" s="28">
        <f>IF(U12=0,0,'таблицы в текст'!$F$241+'таблицы в текст'!$F$242)</f>
        <v>15.89</v>
      </c>
      <c r="V26" s="28">
        <f t="shared" si="9"/>
        <v>23.835</v>
      </c>
      <c r="W26" s="28">
        <f>IF(W12=0,0,'таблицы в текст'!$C$241+'таблицы в текст'!$C$242)</f>
        <v>7.945</v>
      </c>
      <c r="X26" s="28">
        <f>IF(X12=0,0,'таблицы в текст'!$D$241+'таблицы в текст'!$D$242)</f>
        <v>0</v>
      </c>
      <c r="Y26" s="28">
        <f>IF(Y12=0,0,'таблицы в текст'!$E$241+'таблицы в текст'!$E$242)</f>
        <v>0</v>
      </c>
      <c r="Z26" s="28">
        <f>IF(Z12=0,0,'таблицы в текст'!$F$241+'таблицы в текст'!$F$242)</f>
        <v>15.89</v>
      </c>
      <c r="AA26" s="29">
        <f t="shared" si="5"/>
        <v>0</v>
      </c>
      <c r="AB26" s="28">
        <f>IF(AB12=0,0,'таблицы в текст'!$C$241+'таблицы в текст'!$C$242)</f>
        <v>0</v>
      </c>
      <c r="AC26" s="28">
        <f>IF(AC12=0,0,'таблицы в текст'!$D$241+'таблицы в текст'!$D$242)</f>
        <v>0</v>
      </c>
      <c r="AD26" s="28">
        <f>IF(AD12=0,0,'таблицы в текст'!$E$241+'таблицы в текст'!$E$242)</f>
        <v>0</v>
      </c>
      <c r="AE26" s="28">
        <f>IF(AE12=0,0,'таблицы в текст'!$F$241+'таблицы в текст'!$F$242)</f>
        <v>0</v>
      </c>
      <c r="AF26" s="28">
        <f t="shared" si="7"/>
        <v>87.395</v>
      </c>
      <c r="AG26" s="210"/>
      <c r="AH26" s="218">
        <f t="shared" si="8"/>
        <v>0</v>
      </c>
      <c r="AI26" s="218"/>
      <c r="AJ26" s="219"/>
      <c r="AK26" s="210"/>
      <c r="AL26" s="210"/>
      <c r="AM26" s="210"/>
      <c r="AN26" s="210"/>
      <c r="AO26" s="11"/>
      <c r="AP26" s="11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</row>
    <row r="27" spans="1:94" s="8" customFormat="1" ht="16.5" customHeight="1">
      <c r="A27" s="19" t="s">
        <v>280</v>
      </c>
      <c r="B27" s="28">
        <f aca="true" t="shared" si="18" ref="B27:AE27">B18-B19</f>
        <v>2057.8037341678846</v>
      </c>
      <c r="C27" s="28">
        <f t="shared" si="18"/>
        <v>0</v>
      </c>
      <c r="D27" s="28">
        <f t="shared" si="18"/>
        <v>687.3354580559615</v>
      </c>
      <c r="E27" s="28">
        <f t="shared" si="18"/>
        <v>695.7407380559614</v>
      </c>
      <c r="F27" s="28">
        <f t="shared" si="18"/>
        <v>674.7275380559613</v>
      </c>
      <c r="G27" s="28">
        <f t="shared" si="18"/>
        <v>2954.3734639600025</v>
      </c>
      <c r="H27" s="28">
        <f t="shared" si="18"/>
        <v>782.7876252087594</v>
      </c>
      <c r="I27" s="28">
        <f t="shared" si="18"/>
        <v>730.5594929170804</v>
      </c>
      <c r="J27" s="28">
        <f t="shared" si="18"/>
        <v>738.9647729170804</v>
      </c>
      <c r="K27" s="28">
        <f t="shared" si="18"/>
        <v>702.0615729170802</v>
      </c>
      <c r="L27" s="28">
        <f t="shared" si="18"/>
        <v>3124.0792472392004</v>
      </c>
      <c r="M27" s="28">
        <f t="shared" si="18"/>
        <v>820.2278618129346</v>
      </c>
      <c r="N27" s="28">
        <f t="shared" si="18"/>
        <v>774.6480084754223</v>
      </c>
      <c r="O27" s="28">
        <f t="shared" si="18"/>
        <v>783.0532884754223</v>
      </c>
      <c r="P27" s="28">
        <f t="shared" si="18"/>
        <v>746.1500884754221</v>
      </c>
      <c r="Q27" s="28">
        <f t="shared" si="18"/>
        <v>3305.2830461839876</v>
      </c>
      <c r="R27" s="28">
        <f t="shared" si="18"/>
        <v>866.5208031491932</v>
      </c>
      <c r="S27" s="28">
        <f t="shared" si="18"/>
        <v>819.6182943449305</v>
      </c>
      <c r="T27" s="28">
        <f t="shared" si="18"/>
        <v>828.0235743449305</v>
      </c>
      <c r="U27" s="28">
        <f t="shared" si="18"/>
        <v>791.1203743449303</v>
      </c>
      <c r="V27" s="28">
        <f t="shared" si="9"/>
        <v>3490.1109211076646</v>
      </c>
      <c r="W27" s="28">
        <f t="shared" si="18"/>
        <v>913.7396033121775</v>
      </c>
      <c r="X27" s="28">
        <f t="shared" si="18"/>
        <v>865.4879859318291</v>
      </c>
      <c r="Y27" s="28">
        <f t="shared" si="18"/>
        <v>873.8932659318291</v>
      </c>
      <c r="Z27" s="28">
        <f t="shared" si="18"/>
        <v>836.9900659318289</v>
      </c>
      <c r="AA27" s="29">
        <f t="shared" si="5"/>
        <v>0</v>
      </c>
      <c r="AB27" s="28">
        <f t="shared" si="18"/>
        <v>0</v>
      </c>
      <c r="AC27" s="28">
        <f t="shared" si="18"/>
        <v>0</v>
      </c>
      <c r="AD27" s="28">
        <f t="shared" si="18"/>
        <v>0</v>
      </c>
      <c r="AE27" s="28">
        <f t="shared" si="18"/>
        <v>0</v>
      </c>
      <c r="AF27" s="28">
        <f t="shared" si="7"/>
        <v>14931.650412658739</v>
      </c>
      <c r="AG27" s="210"/>
      <c r="AH27" s="218">
        <f t="shared" si="8"/>
        <v>0</v>
      </c>
      <c r="AI27" s="218"/>
      <c r="AJ27" s="219"/>
      <c r="AK27" s="210"/>
      <c r="AL27" s="210"/>
      <c r="AM27" s="210"/>
      <c r="AN27" s="210"/>
      <c r="AO27" s="11"/>
      <c r="AP27" s="11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</row>
    <row r="28" spans="1:94" s="146" customFormat="1" ht="33" customHeight="1">
      <c r="A28" s="19" t="s">
        <v>40</v>
      </c>
      <c r="B28" s="29">
        <f>SUM(C28:F28)</f>
        <v>123.46419871494861</v>
      </c>
      <c r="C28" s="29">
        <f>IF(C12=0,0,'таблицы в текст'!C279)</f>
        <v>0</v>
      </c>
      <c r="D28" s="29">
        <f>IF(D12=0,0,'таблицы в текст'!D279)</f>
        <v>42.68912657972603</v>
      </c>
      <c r="E28" s="29">
        <f>IF(E12=0,0,'таблицы в текст'!E279)</f>
        <v>41.32030382105938</v>
      </c>
      <c r="F28" s="29">
        <f>IF(F12=0,0,'таблицы в текст'!F279)</f>
        <v>39.45476831416319</v>
      </c>
      <c r="G28" s="29">
        <f>SUM(H28:K28)</f>
        <v>137.1305285579782</v>
      </c>
      <c r="H28" s="29">
        <f>IF(H12=0,0,'таблицы в текст'!C286)</f>
        <v>36.73527596780681</v>
      </c>
      <c r="I28" s="29">
        <f>IF(I12=0,0,'таблицы в текст'!D286)</f>
        <v>35.20673843108167</v>
      </c>
      <c r="J28" s="29">
        <f>IF(J12=0,0,'таблицы в текст'!E286)</f>
        <v>33.60481388223916</v>
      </c>
      <c r="K28" s="29">
        <f>IF(K12=0,0,'таблицы в текст'!F286)</f>
        <v>31.583700276850593</v>
      </c>
      <c r="L28" s="29">
        <f>SUM(M28:P28)</f>
        <v>104.30473819431639</v>
      </c>
      <c r="M28" s="29">
        <f>'таблицы в текст'!C293</f>
        <v>28.88005320146867</v>
      </c>
      <c r="N28" s="29">
        <f>'таблицы в текст'!D293</f>
        <v>27.10756137962274</v>
      </c>
      <c r="O28" s="29">
        <f>'таблицы в текст'!E293</f>
        <v>25.253319972560526</v>
      </c>
      <c r="P28" s="29">
        <f>'таблицы в текст'!F293</f>
        <v>23.06380364066446</v>
      </c>
      <c r="Q28" s="29">
        <f>SUM(R28:U28)</f>
        <v>68.77304928326467</v>
      </c>
      <c r="R28" s="29">
        <f>'таблицы в текст'!C300</f>
        <v>20.37730799508022</v>
      </c>
      <c r="S28" s="29">
        <f>'таблицы в текст'!D300</f>
        <v>18.340752226215802</v>
      </c>
      <c r="T28" s="29">
        <f>'таблицы в текст'!E300</f>
        <v>16.213394954647203</v>
      </c>
      <c r="U28" s="29">
        <f>'таблицы в текст'!F300</f>
        <v>13.841594107321436</v>
      </c>
      <c r="V28" s="28">
        <f t="shared" si="9"/>
        <v>30.312408948787105</v>
      </c>
      <c r="W28" s="29">
        <f>'таблицы в текст'!C307</f>
        <v>11.173663719761437</v>
      </c>
      <c r="X28" s="29">
        <f>'таблицы в текст'!D307</f>
        <v>8.851276660495792</v>
      </c>
      <c r="Y28" s="29">
        <f>'таблицы в текст'!E307</f>
        <v>6.428290012549522</v>
      </c>
      <c r="Z28" s="29">
        <f>'таблицы в текст'!F307</f>
        <v>3.859178555980358</v>
      </c>
      <c r="AA28" s="29">
        <f>SUM(AB28:AE28)</f>
        <v>0</v>
      </c>
      <c r="AB28" s="29">
        <f>'таблицы в текст'!C314</f>
        <v>0</v>
      </c>
      <c r="AC28" s="29">
        <f>'таблицы в текст'!D314</f>
        <v>0</v>
      </c>
      <c r="AD28" s="29">
        <f>'таблицы в текст'!E314</f>
        <v>0</v>
      </c>
      <c r="AE28" s="29">
        <f>'таблицы в текст'!F314</f>
        <v>0</v>
      </c>
      <c r="AF28" s="28">
        <f t="shared" si="7"/>
        <v>463.984923699295</v>
      </c>
      <c r="AG28" s="220"/>
      <c r="AH28" s="218">
        <f t="shared" si="8"/>
        <v>0</v>
      </c>
      <c r="AI28" s="218">
        <f>AF28-'таблицы в текст'!C317+'таблицы в текст'!C279</f>
        <v>0</v>
      </c>
      <c r="AJ28" s="219"/>
      <c r="AK28" s="220"/>
      <c r="AL28" s="220"/>
      <c r="AM28" s="220"/>
      <c r="AN28" s="220"/>
      <c r="AO28" s="6"/>
      <c r="AP28" s="6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</row>
    <row r="29" spans="1:94" s="146" customFormat="1" ht="18.75" customHeight="1">
      <c r="A29" s="12" t="s">
        <v>41</v>
      </c>
      <c r="B29" s="28">
        <f>B27-B28</f>
        <v>1934.339535452936</v>
      </c>
      <c r="C29" s="28">
        <f aca="true" t="shared" si="19" ref="C29:AE29">C27-C28</f>
        <v>0</v>
      </c>
      <c r="D29" s="28">
        <f t="shared" si="19"/>
        <v>644.6463314762354</v>
      </c>
      <c r="E29" s="28">
        <f t="shared" si="19"/>
        <v>654.420434234902</v>
      </c>
      <c r="F29" s="28">
        <f t="shared" si="19"/>
        <v>635.2727697417981</v>
      </c>
      <c r="G29" s="28">
        <f t="shared" si="19"/>
        <v>2817.242935402024</v>
      </c>
      <c r="H29" s="28">
        <f t="shared" si="19"/>
        <v>746.0523492409526</v>
      </c>
      <c r="I29" s="28">
        <f t="shared" si="19"/>
        <v>695.3527544859987</v>
      </c>
      <c r="J29" s="28">
        <f t="shared" si="19"/>
        <v>705.3599590348413</v>
      </c>
      <c r="K29" s="28">
        <f t="shared" si="19"/>
        <v>670.4778726402296</v>
      </c>
      <c r="L29" s="28">
        <f t="shared" si="19"/>
        <v>3019.774509044884</v>
      </c>
      <c r="M29" s="28">
        <f t="shared" si="19"/>
        <v>791.347808611466</v>
      </c>
      <c r="N29" s="28">
        <f t="shared" si="19"/>
        <v>747.5404470957995</v>
      </c>
      <c r="O29" s="28">
        <f t="shared" si="19"/>
        <v>757.7999685028617</v>
      </c>
      <c r="P29" s="28">
        <f t="shared" si="19"/>
        <v>723.0862848347576</v>
      </c>
      <c r="Q29" s="28">
        <f t="shared" si="19"/>
        <v>3236.509996900723</v>
      </c>
      <c r="R29" s="28">
        <f t="shared" si="19"/>
        <v>846.143495154113</v>
      </c>
      <c r="S29" s="28">
        <f t="shared" si="19"/>
        <v>801.2775421187147</v>
      </c>
      <c r="T29" s="28">
        <f t="shared" si="19"/>
        <v>811.8101793902832</v>
      </c>
      <c r="U29" s="28">
        <f t="shared" si="19"/>
        <v>777.2787802376089</v>
      </c>
      <c r="V29" s="28">
        <f t="shared" si="9"/>
        <v>3459.7985121588777</v>
      </c>
      <c r="W29" s="28">
        <f t="shared" si="19"/>
        <v>902.565939592416</v>
      </c>
      <c r="X29" s="28">
        <f t="shared" si="19"/>
        <v>856.6367092713333</v>
      </c>
      <c r="Y29" s="28">
        <f t="shared" si="19"/>
        <v>867.4649759192796</v>
      </c>
      <c r="Z29" s="28">
        <f t="shared" si="19"/>
        <v>833.1308873758485</v>
      </c>
      <c r="AA29" s="29">
        <f>SUM(AB29:AE29)</f>
        <v>0</v>
      </c>
      <c r="AB29" s="28">
        <f t="shared" si="19"/>
        <v>0</v>
      </c>
      <c r="AC29" s="28">
        <f t="shared" si="19"/>
        <v>0</v>
      </c>
      <c r="AD29" s="28">
        <f t="shared" si="19"/>
        <v>0</v>
      </c>
      <c r="AE29" s="28">
        <f t="shared" si="19"/>
        <v>0</v>
      </c>
      <c r="AF29" s="28">
        <f t="shared" si="7"/>
        <v>14467.665488959445</v>
      </c>
      <c r="AG29" s="220"/>
      <c r="AH29" s="218">
        <f t="shared" si="8"/>
        <v>0</v>
      </c>
      <c r="AI29" s="218">
        <f>AF12-AF13-AF19-AF28-AF29</f>
        <v>0</v>
      </c>
      <c r="AJ29" s="219"/>
      <c r="AK29" s="220"/>
      <c r="AL29" s="220"/>
      <c r="AM29" s="220"/>
      <c r="AN29" s="220"/>
      <c r="AO29" s="6"/>
      <c r="AP29" s="6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</row>
    <row r="30" spans="1:94" s="146" customFormat="1" ht="18.75" customHeight="1">
      <c r="A30" s="12" t="s">
        <v>286</v>
      </c>
      <c r="B30" s="28">
        <f aca="true" t="shared" si="20" ref="B30:AE30">B31+B32</f>
        <v>0</v>
      </c>
      <c r="C30" s="28">
        <f t="shared" si="20"/>
        <v>0</v>
      </c>
      <c r="D30" s="28">
        <f t="shared" si="20"/>
        <v>0</v>
      </c>
      <c r="E30" s="28">
        <f t="shared" si="20"/>
        <v>0</v>
      </c>
      <c r="F30" s="28">
        <f t="shared" si="20"/>
        <v>0</v>
      </c>
      <c r="G30" s="28">
        <f t="shared" si="20"/>
        <v>0</v>
      </c>
      <c r="H30" s="28">
        <f t="shared" si="20"/>
        <v>0</v>
      </c>
      <c r="I30" s="28">
        <f t="shared" si="20"/>
        <v>0</v>
      </c>
      <c r="J30" s="28">
        <f t="shared" si="20"/>
        <v>0</v>
      </c>
      <c r="K30" s="28">
        <f t="shared" si="20"/>
        <v>0</v>
      </c>
      <c r="L30" s="28">
        <f t="shared" si="20"/>
        <v>0</v>
      </c>
      <c r="M30" s="28">
        <f t="shared" si="20"/>
        <v>0</v>
      </c>
      <c r="N30" s="28">
        <f t="shared" si="20"/>
        <v>0</v>
      </c>
      <c r="O30" s="28">
        <f t="shared" si="20"/>
        <v>0</v>
      </c>
      <c r="P30" s="28">
        <f t="shared" si="20"/>
        <v>0</v>
      </c>
      <c r="Q30" s="28">
        <f t="shared" si="20"/>
        <v>0</v>
      </c>
      <c r="R30" s="28">
        <f t="shared" si="20"/>
        <v>0</v>
      </c>
      <c r="S30" s="28">
        <f t="shared" si="20"/>
        <v>0</v>
      </c>
      <c r="T30" s="28">
        <f t="shared" si="20"/>
        <v>0</v>
      </c>
      <c r="U30" s="28">
        <f t="shared" si="20"/>
        <v>0</v>
      </c>
      <c r="V30" s="28">
        <f t="shared" si="20"/>
        <v>0</v>
      </c>
      <c r="W30" s="28">
        <f t="shared" si="20"/>
        <v>0</v>
      </c>
      <c r="X30" s="28">
        <f t="shared" si="20"/>
        <v>0</v>
      </c>
      <c r="Y30" s="28">
        <f t="shared" si="20"/>
        <v>0</v>
      </c>
      <c r="Z30" s="28">
        <f t="shared" si="20"/>
        <v>0</v>
      </c>
      <c r="AA30" s="28">
        <f t="shared" si="20"/>
        <v>0</v>
      </c>
      <c r="AB30" s="28">
        <f t="shared" si="20"/>
        <v>0</v>
      </c>
      <c r="AC30" s="28">
        <f t="shared" si="20"/>
        <v>0</v>
      </c>
      <c r="AD30" s="28">
        <f t="shared" si="20"/>
        <v>0</v>
      </c>
      <c r="AE30" s="28">
        <f t="shared" si="20"/>
        <v>0</v>
      </c>
      <c r="AF30" s="28">
        <f t="shared" si="7"/>
        <v>0</v>
      </c>
      <c r="AG30" s="220"/>
      <c r="AH30" s="218">
        <f t="shared" si="8"/>
        <v>0</v>
      </c>
      <c r="AI30" s="218"/>
      <c r="AJ30" s="219"/>
      <c r="AK30" s="220"/>
      <c r="AL30" s="220"/>
      <c r="AM30" s="220"/>
      <c r="AN30" s="220"/>
      <c r="AO30" s="6"/>
      <c r="AP30" s="6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</row>
    <row r="31" spans="1:94" s="146" customFormat="1" ht="18" customHeight="1">
      <c r="A31" s="19" t="s">
        <v>287</v>
      </c>
      <c r="B31" s="28">
        <f>SUM(C31:F31)</f>
        <v>0</v>
      </c>
      <c r="C31" s="28">
        <f>IF('таблицы в текст'!$G$239&gt;0,C12*0.06,0)</f>
        <v>0</v>
      </c>
      <c r="D31" s="28">
        <f>IF('таблицы в текст'!$G$239&gt;0,D12*0.06,0)</f>
        <v>0</v>
      </c>
      <c r="E31" s="28">
        <f>IF('таблицы в текст'!$G$239&gt;0,E12*0.06,0)</f>
        <v>0</v>
      </c>
      <c r="F31" s="28">
        <f>IF('таблицы в текст'!$G$239&gt;0,F12*0.06,0)</f>
        <v>0</v>
      </c>
      <c r="G31" s="28">
        <f>SUM(H31:K31)</f>
        <v>0</v>
      </c>
      <c r="H31" s="28">
        <f>IF('таблицы в текст'!$G$239&gt;0,H12*0.06,0)</f>
        <v>0</v>
      </c>
      <c r="I31" s="28">
        <f>IF('таблицы в текст'!$G$239&gt;0,I12*0.06,0)</f>
        <v>0</v>
      </c>
      <c r="J31" s="28">
        <f>IF('таблицы в текст'!$G$239&gt;0,J12*0.06,0)</f>
        <v>0</v>
      </c>
      <c r="K31" s="28">
        <f>IF('таблицы в текст'!$G$239&gt;0,K12*0.06,0)</f>
        <v>0</v>
      </c>
      <c r="L31" s="28">
        <f>SUM(M31:P31)</f>
        <v>0</v>
      </c>
      <c r="M31" s="28">
        <f>IF('таблицы в текст'!$G$239&gt;0,M12*0.06,0)</f>
        <v>0</v>
      </c>
      <c r="N31" s="28">
        <f>IF('таблицы в текст'!$G$239&gt;0,N12*0.06,0)</f>
        <v>0</v>
      </c>
      <c r="O31" s="28">
        <f>IF('таблицы в текст'!$G$239&gt;0,O12*0.06,0)</f>
        <v>0</v>
      </c>
      <c r="P31" s="28">
        <f>IF('таблицы в текст'!$G$239&gt;0,P12*0.06,0)</f>
        <v>0</v>
      </c>
      <c r="Q31" s="28">
        <f>SUM(R31:U31)</f>
        <v>0</v>
      </c>
      <c r="R31" s="28">
        <f>IF('таблицы в текст'!$G$239&gt;0,R12*0.06,0)</f>
        <v>0</v>
      </c>
      <c r="S31" s="28">
        <f>IF('таблицы в текст'!$G$239&gt;0,S12*0.06,0)</f>
        <v>0</v>
      </c>
      <c r="T31" s="28">
        <f>IF('таблицы в текст'!$G$239&gt;0,T12*0.06,0)</f>
        <v>0</v>
      </c>
      <c r="U31" s="28">
        <f>IF('таблицы в текст'!$G$239&gt;0,U12*0.06,0)</f>
        <v>0</v>
      </c>
      <c r="V31" s="28">
        <f>SUM(W31:Z31)</f>
        <v>0</v>
      </c>
      <c r="W31" s="28">
        <f>IF('таблицы в текст'!$G$239&gt;0,W12*0.06,0)</f>
        <v>0</v>
      </c>
      <c r="X31" s="28">
        <f>IF('таблицы в текст'!$G$239&gt;0,X12*0.06,0)</f>
        <v>0</v>
      </c>
      <c r="Y31" s="28">
        <f>IF('таблицы в текст'!$G$239&gt;0,Y12*0.06,0)</f>
        <v>0</v>
      </c>
      <c r="Z31" s="28">
        <f>IF('таблицы в текст'!$G$239&gt;0,Z12*0.06,0)</f>
        <v>0</v>
      </c>
      <c r="AA31" s="28">
        <f>SUM(AB31:AE31)</f>
        <v>0</v>
      </c>
      <c r="AB31" s="28">
        <f>IF('таблицы в текст'!$G$239&gt;0,AB12*0.06,0)</f>
        <v>0</v>
      </c>
      <c r="AC31" s="28">
        <f>IF('таблицы в текст'!$G$239&gt;0,AC12*0.06,0)</f>
        <v>0</v>
      </c>
      <c r="AD31" s="28">
        <f>IF('таблицы в текст'!$G$239&gt;0,AD12*0.06,0)</f>
        <v>0</v>
      </c>
      <c r="AE31" s="28">
        <f>IF('таблицы в текст'!$G$239&gt;0,AE12*0.06,0)</f>
        <v>0</v>
      </c>
      <c r="AF31" s="28">
        <f t="shared" si="7"/>
        <v>0</v>
      </c>
      <c r="AG31" s="220"/>
      <c r="AH31" s="218">
        <f t="shared" si="8"/>
        <v>0</v>
      </c>
      <c r="AI31" s="218"/>
      <c r="AJ31" s="219"/>
      <c r="AK31" s="220"/>
      <c r="AL31" s="220"/>
      <c r="AM31" s="220"/>
      <c r="AN31" s="220"/>
      <c r="AO31" s="6"/>
      <c r="AP31" s="6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</row>
    <row r="32" spans="1:94" s="146" customFormat="1" ht="18" customHeight="1">
      <c r="A32" s="19" t="s">
        <v>288</v>
      </c>
      <c r="B32" s="28">
        <f>SUM(C32:F32)</f>
        <v>0</v>
      </c>
      <c r="C32" s="28">
        <f>IF('таблицы в текст'!$G$240&gt;0,(C12-C13-C19-C28)*0.1,0)</f>
        <v>0</v>
      </c>
      <c r="D32" s="28">
        <f>IF('таблицы в текст'!$G$240&gt;0,(D12-D13-D19-D28)*0.1,0)</f>
        <v>0</v>
      </c>
      <c r="E32" s="28">
        <f>IF('таблицы в текст'!$G$240&gt;0,(E12-E13-E19-E28)*0.1,0)</f>
        <v>0</v>
      </c>
      <c r="F32" s="28">
        <f>IF('таблицы в текст'!$G$240&gt;0,(F12-F13-F19-F28)*0.1,0)</f>
        <v>0</v>
      </c>
      <c r="G32" s="28">
        <f>SUM(H32:K32)</f>
        <v>0</v>
      </c>
      <c r="H32" s="28">
        <f>IF('таблицы в текст'!$G$240&gt;0,(H12-H13-H19-H28)*0.1,0)</f>
        <v>0</v>
      </c>
      <c r="I32" s="28">
        <f>IF('таблицы в текст'!$G$240&gt;0,(I12-I13-I19-I28)*0.1,0)</f>
        <v>0</v>
      </c>
      <c r="J32" s="28">
        <f>IF('таблицы в текст'!$G$240&gt;0,(J12-J13-J19-J28)*0.1,0)</f>
        <v>0</v>
      </c>
      <c r="K32" s="28">
        <f>IF('таблицы в текст'!$G$240&gt;0,(K12-K13-K19-K28)*0.1,0)</f>
        <v>0</v>
      </c>
      <c r="L32" s="28">
        <f>SUM(M32:P32)</f>
        <v>0</v>
      </c>
      <c r="M32" s="28">
        <f>IF('таблицы в текст'!$G$240&gt;0,(M12-M13-M19-M28)*0.1,0)</f>
        <v>0</v>
      </c>
      <c r="N32" s="28">
        <f>IF('таблицы в текст'!$G$240&gt;0,(N12-N13-N19-N28)*0.1,0)</f>
        <v>0</v>
      </c>
      <c r="O32" s="28">
        <f>IF('таблицы в текст'!$G$240&gt;0,(O12-O13-O19-O28)*0.1,0)</f>
        <v>0</v>
      </c>
      <c r="P32" s="28">
        <f>IF('таблицы в текст'!$G$240&gt;0,(P12-P13-P19-P28)*0.1,0)</f>
        <v>0</v>
      </c>
      <c r="Q32" s="28">
        <f>SUM(R32:U32)</f>
        <v>0</v>
      </c>
      <c r="R32" s="28">
        <f>IF('таблицы в текст'!$G$240&gt;0,(R12-R13-R19-R28)*0.1,0)</f>
        <v>0</v>
      </c>
      <c r="S32" s="28">
        <f>IF('таблицы в текст'!$G$240&gt;0,(S12-S13-S19-S28)*0.1,0)</f>
        <v>0</v>
      </c>
      <c r="T32" s="28">
        <f>IF('таблицы в текст'!$G$240&gt;0,(T12-T13-T19-T28)*0.1,0)</f>
        <v>0</v>
      </c>
      <c r="U32" s="28">
        <f>IF('таблицы в текст'!$G$240&gt;0,(U12-U13-U19-U28)*0.1,0)</f>
        <v>0</v>
      </c>
      <c r="V32" s="28">
        <f>SUM(W32:Z32)</f>
        <v>0</v>
      </c>
      <c r="W32" s="28">
        <f>IF('таблицы в текст'!$G$240&gt;0,(W12-W13-W19-W28)*0.1,0)</f>
        <v>0</v>
      </c>
      <c r="X32" s="28">
        <f>IF('таблицы в текст'!$G$240&gt;0,(X12-X13-X19-X28)*0.1,0)</f>
        <v>0</v>
      </c>
      <c r="Y32" s="28">
        <f>IF('таблицы в текст'!$G$240&gt;0,(Y12-Y13-Y19-Y28)*0.1,0)</f>
        <v>0</v>
      </c>
      <c r="Z32" s="28">
        <f>IF('таблицы в текст'!$G$240&gt;0,(Z12-Z13-Z19-Z28)*0.1,0)</f>
        <v>0</v>
      </c>
      <c r="AA32" s="28">
        <f>SUM(AB32:AE32)</f>
        <v>0</v>
      </c>
      <c r="AB32" s="28">
        <f>IF('таблицы в текст'!$G$240&gt;0,(AB12-AB13-AB19-AB28)*0.1,0)</f>
        <v>0</v>
      </c>
      <c r="AC32" s="28">
        <f>IF('таблицы в текст'!$G$240&gt;0,(AC12-AC13-AC19-AC28)*0.1,0)</f>
        <v>0</v>
      </c>
      <c r="AD32" s="28">
        <f>IF('таблицы в текст'!$G$240&gt;0,(AD12-AD13-AD19-AD28)*0.1,0)</f>
        <v>0</v>
      </c>
      <c r="AE32" s="28">
        <f>IF('таблицы в текст'!$G$240&gt;0,(AE12-AE13-AE19-AE28)*0.1,0)</f>
        <v>0</v>
      </c>
      <c r="AF32" s="28">
        <f t="shared" si="7"/>
        <v>0</v>
      </c>
      <c r="AG32" s="220"/>
      <c r="AH32" s="218">
        <f t="shared" si="8"/>
        <v>0</v>
      </c>
      <c r="AI32" s="218"/>
      <c r="AJ32" s="219"/>
      <c r="AK32" s="220"/>
      <c r="AL32" s="220"/>
      <c r="AM32" s="220"/>
      <c r="AN32" s="220"/>
      <c r="AO32" s="6"/>
      <c r="AP32" s="6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</row>
    <row r="33" spans="1:94" s="170" customFormat="1" ht="19.5" customHeight="1">
      <c r="A33" s="168" t="s">
        <v>42</v>
      </c>
      <c r="B33" s="169">
        <f>B29-B31</f>
        <v>1934.339535452936</v>
      </c>
      <c r="C33" s="169">
        <f aca="true" t="shared" si="21" ref="C33:AF33">C29-C31</f>
        <v>0</v>
      </c>
      <c r="D33" s="169">
        <f t="shared" si="21"/>
        <v>644.6463314762354</v>
      </c>
      <c r="E33" s="169">
        <f t="shared" si="21"/>
        <v>654.420434234902</v>
      </c>
      <c r="F33" s="169">
        <f t="shared" si="21"/>
        <v>635.2727697417981</v>
      </c>
      <c r="G33" s="169">
        <f t="shared" si="21"/>
        <v>2817.242935402024</v>
      </c>
      <c r="H33" s="169">
        <f t="shared" si="21"/>
        <v>746.0523492409526</v>
      </c>
      <c r="I33" s="169">
        <f t="shared" si="21"/>
        <v>695.3527544859987</v>
      </c>
      <c r="J33" s="169">
        <f t="shared" si="21"/>
        <v>705.3599590348413</v>
      </c>
      <c r="K33" s="169">
        <f t="shared" si="21"/>
        <v>670.4778726402296</v>
      </c>
      <c r="L33" s="169">
        <f t="shared" si="21"/>
        <v>3019.774509044884</v>
      </c>
      <c r="M33" s="169">
        <f t="shared" si="21"/>
        <v>791.347808611466</v>
      </c>
      <c r="N33" s="169">
        <f t="shared" si="21"/>
        <v>747.5404470957995</v>
      </c>
      <c r="O33" s="169">
        <f t="shared" si="21"/>
        <v>757.7999685028617</v>
      </c>
      <c r="P33" s="169">
        <f t="shared" si="21"/>
        <v>723.0862848347576</v>
      </c>
      <c r="Q33" s="169">
        <f t="shared" si="21"/>
        <v>3236.509996900723</v>
      </c>
      <c r="R33" s="169">
        <f t="shared" si="21"/>
        <v>846.143495154113</v>
      </c>
      <c r="S33" s="169">
        <f t="shared" si="21"/>
        <v>801.2775421187147</v>
      </c>
      <c r="T33" s="169">
        <f t="shared" si="21"/>
        <v>811.8101793902832</v>
      </c>
      <c r="U33" s="169">
        <f t="shared" si="21"/>
        <v>777.2787802376089</v>
      </c>
      <c r="V33" s="169">
        <f t="shared" si="21"/>
        <v>3459.7985121588777</v>
      </c>
      <c r="W33" s="169">
        <f t="shared" si="21"/>
        <v>902.565939592416</v>
      </c>
      <c r="X33" s="169">
        <f t="shared" si="21"/>
        <v>856.6367092713333</v>
      </c>
      <c r="Y33" s="169">
        <f t="shared" si="21"/>
        <v>867.4649759192796</v>
      </c>
      <c r="Z33" s="169">
        <f t="shared" si="21"/>
        <v>833.1308873758485</v>
      </c>
      <c r="AA33" s="169">
        <f t="shared" si="21"/>
        <v>0</v>
      </c>
      <c r="AB33" s="169">
        <f t="shared" si="21"/>
        <v>0</v>
      </c>
      <c r="AC33" s="169">
        <f t="shared" si="21"/>
        <v>0</v>
      </c>
      <c r="AD33" s="169">
        <f t="shared" si="21"/>
        <v>0</v>
      </c>
      <c r="AE33" s="169">
        <f t="shared" si="21"/>
        <v>0</v>
      </c>
      <c r="AF33" s="169">
        <f t="shared" si="21"/>
        <v>14467.665488959445</v>
      </c>
      <c r="AG33" s="221"/>
      <c r="AH33" s="218">
        <f t="shared" si="8"/>
        <v>0</v>
      </c>
      <c r="AI33" s="222"/>
      <c r="AJ33" s="223"/>
      <c r="AK33" s="221"/>
      <c r="AL33" s="221"/>
      <c r="AM33" s="221"/>
      <c r="AN33" s="221"/>
      <c r="AO33" s="213"/>
      <c r="AP33" s="213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</row>
    <row r="34" spans="1:42" s="9" customFormat="1" ht="15.75" customHeight="1" hidden="1" outlineLevel="1">
      <c r="A34" s="165" t="s">
        <v>282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210"/>
      <c r="AH34" s="210"/>
      <c r="AI34" s="210"/>
      <c r="AJ34" s="210"/>
      <c r="AK34" s="210"/>
      <c r="AL34" s="210"/>
      <c r="AM34" s="210"/>
      <c r="AN34" s="210"/>
      <c r="AO34" s="11"/>
      <c r="AP34" s="11"/>
    </row>
    <row r="35" spans="1:42" s="9" customFormat="1" ht="15.75" customHeight="1" hidden="1" outlineLevel="1">
      <c r="A35" s="165" t="s">
        <v>283</v>
      </c>
      <c r="B35" s="166"/>
      <c r="C35" s="166"/>
      <c r="D35" s="166"/>
      <c r="E35" s="166"/>
      <c r="F35" s="166"/>
      <c r="G35" s="167">
        <f>'таблицы в текст'!D28</f>
        <v>1</v>
      </c>
      <c r="H35" s="167">
        <f>G35</f>
        <v>1</v>
      </c>
      <c r="I35" s="167">
        <f>H35</f>
        <v>1</v>
      </c>
      <c r="J35" s="167">
        <f>I35</f>
        <v>1</v>
      </c>
      <c r="K35" s="167">
        <f>J35</f>
        <v>1</v>
      </c>
      <c r="L35" s="167">
        <f aca="true" t="shared" si="22" ref="L35:AE35">K35</f>
        <v>1</v>
      </c>
      <c r="M35" s="167">
        <f t="shared" si="22"/>
        <v>1</v>
      </c>
      <c r="N35" s="167">
        <f t="shared" si="22"/>
        <v>1</v>
      </c>
      <c r="O35" s="167">
        <f t="shared" si="22"/>
        <v>1</v>
      </c>
      <c r="P35" s="167">
        <f t="shared" si="22"/>
        <v>1</v>
      </c>
      <c r="Q35" s="167">
        <f t="shared" si="22"/>
        <v>1</v>
      </c>
      <c r="R35" s="167">
        <f t="shared" si="22"/>
        <v>1</v>
      </c>
      <c r="S35" s="167">
        <f t="shared" si="22"/>
        <v>1</v>
      </c>
      <c r="T35" s="167">
        <f t="shared" si="22"/>
        <v>1</v>
      </c>
      <c r="U35" s="167">
        <f t="shared" si="22"/>
        <v>1</v>
      </c>
      <c r="V35" s="167">
        <f t="shared" si="22"/>
        <v>1</v>
      </c>
      <c r="W35" s="167">
        <f t="shared" si="22"/>
        <v>1</v>
      </c>
      <c r="X35" s="167">
        <f t="shared" si="22"/>
        <v>1</v>
      </c>
      <c r="Y35" s="167">
        <f t="shared" si="22"/>
        <v>1</v>
      </c>
      <c r="Z35" s="167">
        <f t="shared" si="22"/>
        <v>1</v>
      </c>
      <c r="AA35" s="167">
        <f t="shared" si="22"/>
        <v>1</v>
      </c>
      <c r="AB35" s="167">
        <f t="shared" si="22"/>
        <v>1</v>
      </c>
      <c r="AC35" s="167">
        <f t="shared" si="22"/>
        <v>1</v>
      </c>
      <c r="AD35" s="167">
        <f t="shared" si="22"/>
        <v>1</v>
      </c>
      <c r="AE35" s="167">
        <f t="shared" si="22"/>
        <v>1</v>
      </c>
      <c r="AF35" s="166"/>
      <c r="AG35" s="210"/>
      <c r="AH35" s="210"/>
      <c r="AI35" s="210"/>
      <c r="AJ35" s="210"/>
      <c r="AK35" s="210"/>
      <c r="AL35" s="210"/>
      <c r="AM35" s="210"/>
      <c r="AN35" s="210"/>
      <c r="AO35" s="11"/>
      <c r="AP35" s="11"/>
    </row>
    <row r="36" spans="1:42" s="9" customFormat="1" ht="15.75" customHeight="1" hidden="1" outlineLevel="1">
      <c r="A36" s="165" t="s">
        <v>284</v>
      </c>
      <c r="B36" s="166"/>
      <c r="C36" s="166"/>
      <c r="D36" s="166"/>
      <c r="E36" s="166"/>
      <c r="F36" s="166"/>
      <c r="G36" s="167">
        <f>'таблицы в текст'!D28</f>
        <v>1</v>
      </c>
      <c r="H36" s="167">
        <f aca="true" t="shared" si="23" ref="H36:K37">G36</f>
        <v>1</v>
      </c>
      <c r="I36" s="167">
        <f t="shared" si="23"/>
        <v>1</v>
      </c>
      <c r="J36" s="167">
        <f t="shared" si="23"/>
        <v>1</v>
      </c>
      <c r="K36" s="167">
        <f t="shared" si="23"/>
        <v>1</v>
      </c>
      <c r="L36" s="167">
        <f aca="true" t="shared" si="24" ref="L36:AE36">K36</f>
        <v>1</v>
      </c>
      <c r="M36" s="167">
        <f t="shared" si="24"/>
        <v>1</v>
      </c>
      <c r="N36" s="167">
        <f t="shared" si="24"/>
        <v>1</v>
      </c>
      <c r="O36" s="167">
        <f t="shared" si="24"/>
        <v>1</v>
      </c>
      <c r="P36" s="167">
        <f t="shared" si="24"/>
        <v>1</v>
      </c>
      <c r="Q36" s="167">
        <f t="shared" si="24"/>
        <v>1</v>
      </c>
      <c r="R36" s="167">
        <f t="shared" si="24"/>
        <v>1</v>
      </c>
      <c r="S36" s="167">
        <f t="shared" si="24"/>
        <v>1</v>
      </c>
      <c r="T36" s="167">
        <f t="shared" si="24"/>
        <v>1</v>
      </c>
      <c r="U36" s="167">
        <f t="shared" si="24"/>
        <v>1</v>
      </c>
      <c r="V36" s="167">
        <f t="shared" si="24"/>
        <v>1</v>
      </c>
      <c r="W36" s="167">
        <f t="shared" si="24"/>
        <v>1</v>
      </c>
      <c r="X36" s="167">
        <f t="shared" si="24"/>
        <v>1</v>
      </c>
      <c r="Y36" s="167">
        <f t="shared" si="24"/>
        <v>1</v>
      </c>
      <c r="Z36" s="167">
        <f t="shared" si="24"/>
        <v>1</v>
      </c>
      <c r="AA36" s="167">
        <f t="shared" si="24"/>
        <v>1</v>
      </c>
      <c r="AB36" s="167">
        <f t="shared" si="24"/>
        <v>1</v>
      </c>
      <c r="AC36" s="167">
        <f t="shared" si="24"/>
        <v>1</v>
      </c>
      <c r="AD36" s="167">
        <f t="shared" si="24"/>
        <v>1</v>
      </c>
      <c r="AE36" s="167">
        <f t="shared" si="24"/>
        <v>1</v>
      </c>
      <c r="AF36" s="166"/>
      <c r="AG36" s="210"/>
      <c r="AH36" s="210"/>
      <c r="AI36" s="210"/>
      <c r="AJ36" s="210"/>
      <c r="AK36" s="210"/>
      <c r="AL36" s="210"/>
      <c r="AM36" s="210"/>
      <c r="AN36" s="210"/>
      <c r="AO36" s="11"/>
      <c r="AP36" s="11"/>
    </row>
    <row r="37" spans="1:42" s="9" customFormat="1" ht="15.75" customHeight="1" hidden="1" outlineLevel="1">
      <c r="A37" s="165" t="s">
        <v>285</v>
      </c>
      <c r="B37" s="166"/>
      <c r="C37" s="166"/>
      <c r="D37" s="166"/>
      <c r="E37" s="166"/>
      <c r="F37" s="166"/>
      <c r="G37" s="167">
        <f>'таблицы в текст'!D28</f>
        <v>1</v>
      </c>
      <c r="H37" s="167">
        <f t="shared" si="23"/>
        <v>1</v>
      </c>
      <c r="I37" s="167">
        <f t="shared" si="23"/>
        <v>1</v>
      </c>
      <c r="J37" s="167">
        <f t="shared" si="23"/>
        <v>1</v>
      </c>
      <c r="K37" s="167">
        <f t="shared" si="23"/>
        <v>1</v>
      </c>
      <c r="L37" s="167">
        <f aca="true" t="shared" si="25" ref="L37:AE37">K37</f>
        <v>1</v>
      </c>
      <c r="M37" s="167">
        <f t="shared" si="25"/>
        <v>1</v>
      </c>
      <c r="N37" s="167">
        <f t="shared" si="25"/>
        <v>1</v>
      </c>
      <c r="O37" s="167">
        <f t="shared" si="25"/>
        <v>1</v>
      </c>
      <c r="P37" s="167">
        <f t="shared" si="25"/>
        <v>1</v>
      </c>
      <c r="Q37" s="167">
        <f t="shared" si="25"/>
        <v>1</v>
      </c>
      <c r="R37" s="167">
        <f t="shared" si="25"/>
        <v>1</v>
      </c>
      <c r="S37" s="167">
        <f t="shared" si="25"/>
        <v>1</v>
      </c>
      <c r="T37" s="167">
        <f t="shared" si="25"/>
        <v>1</v>
      </c>
      <c r="U37" s="167">
        <f t="shared" si="25"/>
        <v>1</v>
      </c>
      <c r="V37" s="167">
        <f t="shared" si="25"/>
        <v>1</v>
      </c>
      <c r="W37" s="167">
        <f t="shared" si="25"/>
        <v>1</v>
      </c>
      <c r="X37" s="167">
        <f t="shared" si="25"/>
        <v>1</v>
      </c>
      <c r="Y37" s="167">
        <f t="shared" si="25"/>
        <v>1</v>
      </c>
      <c r="Z37" s="167">
        <f t="shared" si="25"/>
        <v>1</v>
      </c>
      <c r="AA37" s="167">
        <f t="shared" si="25"/>
        <v>1</v>
      </c>
      <c r="AB37" s="167">
        <f t="shared" si="25"/>
        <v>1</v>
      </c>
      <c r="AC37" s="167">
        <f t="shared" si="25"/>
        <v>1</v>
      </c>
      <c r="AD37" s="167">
        <f t="shared" si="25"/>
        <v>1</v>
      </c>
      <c r="AE37" s="167">
        <f t="shared" si="25"/>
        <v>1</v>
      </c>
      <c r="AF37" s="166"/>
      <c r="AG37" s="210"/>
      <c r="AH37" s="210"/>
      <c r="AI37" s="210"/>
      <c r="AJ37" s="210"/>
      <c r="AK37" s="210"/>
      <c r="AL37" s="210"/>
      <c r="AM37" s="210"/>
      <c r="AN37" s="210"/>
      <c r="AO37" s="11"/>
      <c r="AP37" s="11"/>
    </row>
    <row r="38" spans="13:16" ht="12.75" collapsed="1">
      <c r="M38" s="25"/>
      <c r="N38" s="25"/>
      <c r="O38" s="25"/>
      <c r="P38" s="25"/>
    </row>
    <row r="45" ht="12.75">
      <c r="C45" s="18"/>
    </row>
  </sheetData>
  <sheetProtection/>
  <mergeCells count="19">
    <mergeCell ref="AF7:AF9"/>
    <mergeCell ref="L8:L9"/>
    <mergeCell ref="G7:K7"/>
    <mergeCell ref="L7:P7"/>
    <mergeCell ref="R8:U8"/>
    <mergeCell ref="V7:Z7"/>
    <mergeCell ref="AB7:AE7"/>
    <mergeCell ref="AA8:AA9"/>
    <mergeCell ref="Q7:U7"/>
    <mergeCell ref="A7:A9"/>
    <mergeCell ref="B7:F7"/>
    <mergeCell ref="B8:B9"/>
    <mergeCell ref="W8:X8"/>
    <mergeCell ref="H8:K8"/>
    <mergeCell ref="C8:F8"/>
    <mergeCell ref="Q8:Q9"/>
    <mergeCell ref="M8:P8"/>
    <mergeCell ref="G8:G9"/>
    <mergeCell ref="V8:V9"/>
  </mergeCells>
  <printOptions horizontalCentered="1"/>
  <pageMargins left="0.15748031496062992" right="0.15748031496062992" top="0.5905511811023623" bottom="0.3937007874015748" header="0.7086614173228347" footer="0.6299212598425197"/>
  <pageSetup fitToWidth="2" fitToHeight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49"/>
  <sheetViews>
    <sheetView showZeros="0" zoomScale="90" zoomScaleNormal="90" zoomScalePageLayoutView="0" workbookViewId="0" topLeftCell="A1">
      <pane xSplit="1" ySplit="10" topLeftCell="M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AF31"/>
    </sheetView>
  </sheetViews>
  <sheetFormatPr defaultColWidth="9.140625" defaultRowHeight="13.5" customHeight="1"/>
  <cols>
    <col min="1" max="1" width="41.140625" style="41" customWidth="1"/>
    <col min="2" max="2" width="9.00390625" style="23" customWidth="1"/>
    <col min="3" max="3" width="8.7109375" style="23" customWidth="1"/>
    <col min="4" max="4" width="8.28125" style="23" customWidth="1"/>
    <col min="5" max="5" width="8.140625" style="23" customWidth="1"/>
    <col min="6" max="6" width="8.57421875" style="23" customWidth="1"/>
    <col min="7" max="7" width="8.7109375" style="23" customWidth="1"/>
    <col min="8" max="21" width="7.28125" style="23" customWidth="1"/>
    <col min="22" max="22" width="9.00390625" style="23" customWidth="1"/>
    <col min="23" max="23" width="6.00390625" style="23" customWidth="1"/>
    <col min="24" max="24" width="8.00390625" style="23" customWidth="1"/>
    <col min="25" max="25" width="7.421875" style="23" customWidth="1"/>
    <col min="26" max="26" width="7.28125" style="23" customWidth="1"/>
    <col min="27" max="27" width="0" style="44" hidden="1" customWidth="1"/>
    <col min="28" max="31" width="0" style="35" hidden="1" customWidth="1"/>
    <col min="32" max="33" width="9.140625" style="35" customWidth="1"/>
    <col min="34" max="34" width="13.7109375" style="35" customWidth="1"/>
    <col min="35" max="16384" width="9.140625" style="35" customWidth="1"/>
  </cols>
  <sheetData>
    <row r="1" spans="1:5" s="121" customFormat="1" ht="18">
      <c r="A1" s="136"/>
      <c r="B1" s="137" t="str">
        <f>'таблицы в текст'!B1</f>
        <v>НАЗВАНИЕ ПРОЕКТА:</v>
      </c>
      <c r="C1" s="138"/>
      <c r="D1" s="138"/>
      <c r="E1" s="45" t="str">
        <f>'таблицы в текст'!C1</f>
        <v>Бизнес-план создания хлебопекарни в п. ХХХ ХХХ района Республики Саха (Якутия)</v>
      </c>
    </row>
    <row r="2" spans="1:42" s="1" customFormat="1" ht="12.75">
      <c r="A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3" customFormat="1" ht="20.25">
      <c r="A3" s="139" t="s">
        <v>289</v>
      </c>
      <c r="B3" s="140"/>
      <c r="C3" s="140"/>
      <c r="D3" s="141"/>
      <c r="E3" s="141"/>
      <c r="F3" s="141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3" customFormat="1" ht="18.75">
      <c r="A5" s="123" t="s">
        <v>290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27" s="30" customFormat="1" ht="18.75" customHeight="1">
      <c r="A6" s="31"/>
      <c r="AA6" s="43"/>
    </row>
    <row r="7" spans="1:34" s="120" customFormat="1" ht="13.5" customHeight="1">
      <c r="A7" s="307" t="s">
        <v>5</v>
      </c>
      <c r="B7" s="308">
        <f>'таблицы в текст'!D33</f>
        <v>2019</v>
      </c>
      <c r="C7" s="308"/>
      <c r="D7" s="308"/>
      <c r="E7" s="308"/>
      <c r="F7" s="308"/>
      <c r="G7" s="308">
        <f>B7+1</f>
        <v>2020</v>
      </c>
      <c r="H7" s="308"/>
      <c r="I7" s="308"/>
      <c r="J7" s="308"/>
      <c r="K7" s="308"/>
      <c r="L7" s="311">
        <f>G7+1</f>
        <v>2021</v>
      </c>
      <c r="M7" s="311"/>
      <c r="N7" s="311"/>
      <c r="O7" s="311"/>
      <c r="P7" s="311"/>
      <c r="Q7" s="300">
        <f>L7+1</f>
        <v>2022</v>
      </c>
      <c r="R7" s="301"/>
      <c r="S7" s="301"/>
      <c r="T7" s="301"/>
      <c r="U7" s="302"/>
      <c r="V7" s="300">
        <f>Q7+1</f>
        <v>2023</v>
      </c>
      <c r="W7" s="301"/>
      <c r="X7" s="301"/>
      <c r="Y7" s="301"/>
      <c r="Z7" s="302"/>
      <c r="AA7" s="300">
        <f>V7+1</f>
        <v>2024</v>
      </c>
      <c r="AB7" s="301"/>
      <c r="AC7" s="301"/>
      <c r="AD7" s="301"/>
      <c r="AE7" s="302"/>
      <c r="AF7" s="303" t="s">
        <v>10</v>
      </c>
      <c r="AH7" s="206"/>
    </row>
    <row r="8" spans="1:32" s="34" customFormat="1" ht="13.5" customHeight="1">
      <c r="A8" s="307"/>
      <c r="B8" s="309" t="s">
        <v>6</v>
      </c>
      <c r="C8" s="310" t="s">
        <v>7</v>
      </c>
      <c r="D8" s="310"/>
      <c r="E8" s="310"/>
      <c r="F8" s="310"/>
      <c r="G8" s="309" t="s">
        <v>6</v>
      </c>
      <c r="H8" s="310" t="s">
        <v>7</v>
      </c>
      <c r="I8" s="310"/>
      <c r="J8" s="310"/>
      <c r="K8" s="310"/>
      <c r="L8" s="303" t="s">
        <v>6</v>
      </c>
      <c r="M8" s="310" t="s">
        <v>7</v>
      </c>
      <c r="N8" s="310"/>
      <c r="O8" s="310"/>
      <c r="P8" s="310"/>
      <c r="Q8" s="303" t="s">
        <v>6</v>
      </c>
      <c r="R8" s="304" t="s">
        <v>7</v>
      </c>
      <c r="S8" s="305"/>
      <c r="T8" s="305"/>
      <c r="U8" s="306"/>
      <c r="V8" s="303" t="s">
        <v>6</v>
      </c>
      <c r="W8" s="304" t="s">
        <v>7</v>
      </c>
      <c r="X8" s="305"/>
      <c r="Y8" s="305"/>
      <c r="Z8" s="306"/>
      <c r="AA8" s="303" t="s">
        <v>6</v>
      </c>
      <c r="AB8" s="304" t="s">
        <v>7</v>
      </c>
      <c r="AC8" s="305"/>
      <c r="AD8" s="305"/>
      <c r="AE8" s="306"/>
      <c r="AF8" s="303"/>
    </row>
    <row r="9" spans="1:32" s="34" customFormat="1" ht="13.5" customHeight="1">
      <c r="A9" s="307"/>
      <c r="B9" s="309"/>
      <c r="C9" s="32">
        <v>1</v>
      </c>
      <c r="D9" s="32">
        <v>2</v>
      </c>
      <c r="E9" s="32">
        <v>3</v>
      </c>
      <c r="F9" s="32">
        <v>4</v>
      </c>
      <c r="G9" s="309"/>
      <c r="H9" s="32">
        <v>1</v>
      </c>
      <c r="I9" s="32">
        <v>2</v>
      </c>
      <c r="J9" s="32">
        <v>3</v>
      </c>
      <c r="K9" s="32">
        <v>4</v>
      </c>
      <c r="L9" s="303"/>
      <c r="M9" s="32">
        <v>1</v>
      </c>
      <c r="N9" s="32">
        <v>2</v>
      </c>
      <c r="O9" s="32">
        <v>3</v>
      </c>
      <c r="P9" s="32">
        <v>4</v>
      </c>
      <c r="Q9" s="303"/>
      <c r="R9" s="33">
        <f>M9</f>
        <v>1</v>
      </c>
      <c r="S9" s="33">
        <v>2</v>
      </c>
      <c r="T9" s="33">
        <f>O9</f>
        <v>3</v>
      </c>
      <c r="U9" s="33">
        <f>P9</f>
        <v>4</v>
      </c>
      <c r="V9" s="303"/>
      <c r="W9" s="33">
        <f>R9</f>
        <v>1</v>
      </c>
      <c r="X9" s="33">
        <v>2</v>
      </c>
      <c r="Y9" s="33">
        <f>T9</f>
        <v>3</v>
      </c>
      <c r="Z9" s="33">
        <f>U9</f>
        <v>4</v>
      </c>
      <c r="AA9" s="303"/>
      <c r="AB9" s="33">
        <f>W9</f>
        <v>1</v>
      </c>
      <c r="AC9" s="33">
        <v>3</v>
      </c>
      <c r="AD9" s="33">
        <f>Y9</f>
        <v>3</v>
      </c>
      <c r="AE9" s="33">
        <f>Z9</f>
        <v>4</v>
      </c>
      <c r="AF9" s="303"/>
    </row>
    <row r="10" spans="1:32" ht="13.5" customHeight="1">
      <c r="A10" s="171" t="s">
        <v>291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</row>
    <row r="11" spans="1:32" s="15" customFormat="1" ht="17.25" customHeight="1">
      <c r="A11" s="13" t="str">
        <f>'приложение 1'!A12</f>
        <v>Выручка </v>
      </c>
      <c r="B11" s="17">
        <f aca="true" t="shared" si="0" ref="B11:B16">SUM(C11:F11)</f>
        <v>10325.7</v>
      </c>
      <c r="C11" s="13">
        <f>'приложение 1'!C12</f>
        <v>0</v>
      </c>
      <c r="D11" s="13">
        <f>'приложение 1'!D12</f>
        <v>3441.9</v>
      </c>
      <c r="E11" s="13">
        <f>'приложение 1'!E12</f>
        <v>3441.9</v>
      </c>
      <c r="F11" s="13">
        <f>'приложение 1'!F12</f>
        <v>3441.9</v>
      </c>
      <c r="G11" s="17">
        <f aca="true" t="shared" si="1" ref="G11:G16">SUM(H11:K11)</f>
        <v>14146.209000000003</v>
      </c>
      <c r="H11" s="13">
        <f>'приложение 1'!H12</f>
        <v>3613.9950000000003</v>
      </c>
      <c r="I11" s="13">
        <f>'приложение 1'!I12</f>
        <v>3510.7380000000003</v>
      </c>
      <c r="J11" s="13">
        <f>'приложение 1'!J12</f>
        <v>3510.7380000000003</v>
      </c>
      <c r="K11" s="13">
        <f>'приложение 1'!K12</f>
        <v>3510.7380000000003</v>
      </c>
      <c r="L11" s="17">
        <f aca="true" t="shared" si="2" ref="L11:L16">SUM(M11:P11)</f>
        <v>14429.13318</v>
      </c>
      <c r="M11" s="13">
        <f>'приложение 1'!M12</f>
        <v>3686.2749000000003</v>
      </c>
      <c r="N11" s="13">
        <f>'приложение 1'!N12</f>
        <v>3580.95276</v>
      </c>
      <c r="O11" s="13">
        <f>'приложение 1'!O12</f>
        <v>3580.95276</v>
      </c>
      <c r="P11" s="13">
        <f>'приложение 1'!P12</f>
        <v>3580.95276</v>
      </c>
      <c r="Q11" s="17">
        <f aca="true" t="shared" si="3" ref="Q11:Q16">SUM(R11:U11)</f>
        <v>14717.715843600003</v>
      </c>
      <c r="R11" s="13">
        <f>'приложение 1'!R12</f>
        <v>3760.0003980000006</v>
      </c>
      <c r="S11" s="13">
        <f>'приложение 1'!S12</f>
        <v>3652.5718152000004</v>
      </c>
      <c r="T11" s="13">
        <f>'приложение 1'!T12</f>
        <v>3652.5718152000004</v>
      </c>
      <c r="U11" s="13">
        <f>'приложение 1'!U12</f>
        <v>3652.5718152000004</v>
      </c>
      <c r="V11" s="17">
        <f aca="true" t="shared" si="4" ref="V11:V16">SUM(W11:Z11)</f>
        <v>15012.070160472003</v>
      </c>
      <c r="W11" s="13">
        <f>'приложение 1'!W12</f>
        <v>3835.200405960001</v>
      </c>
      <c r="X11" s="13">
        <f>'приложение 1'!X12</f>
        <v>3725.6232515040006</v>
      </c>
      <c r="Y11" s="13">
        <f>'приложение 1'!Y12</f>
        <v>3725.6232515040006</v>
      </c>
      <c r="Z11" s="13">
        <f>'приложение 1'!Z12</f>
        <v>3725.6232515040006</v>
      </c>
      <c r="AA11" s="17">
        <f aca="true" t="shared" si="5" ref="AA11:AA16">SUM(AB11:AE11)</f>
        <v>0</v>
      </c>
      <c r="AB11" s="13">
        <f>'приложение 1'!AB12</f>
        <v>0</v>
      </c>
      <c r="AC11" s="13">
        <f>'приложение 1'!AC12</f>
        <v>0</v>
      </c>
      <c r="AD11" s="13">
        <f>'приложение 1'!AD12</f>
        <v>0</v>
      </c>
      <c r="AE11" s="13">
        <f>'приложение 1'!AE12</f>
        <v>0</v>
      </c>
      <c r="AF11" s="13">
        <f>AA11+V11+Q11+L11+G11+B11</f>
        <v>68630.828184072</v>
      </c>
    </row>
    <row r="12" spans="1:32" s="15" customFormat="1" ht="17.25" customHeight="1" hidden="1">
      <c r="A12" s="13"/>
      <c r="B12" s="17">
        <f t="shared" si="0"/>
        <v>0</v>
      </c>
      <c r="C12" s="13"/>
      <c r="D12" s="13"/>
      <c r="E12" s="13"/>
      <c r="F12" s="13"/>
      <c r="G12" s="17">
        <f t="shared" si="1"/>
        <v>0</v>
      </c>
      <c r="H12" s="13"/>
      <c r="I12" s="13"/>
      <c r="J12" s="13"/>
      <c r="K12" s="13"/>
      <c r="L12" s="17">
        <f t="shared" si="2"/>
        <v>0</v>
      </c>
      <c r="M12" s="13"/>
      <c r="N12" s="13"/>
      <c r="O12" s="13"/>
      <c r="P12" s="13"/>
      <c r="Q12" s="17">
        <f t="shared" si="3"/>
        <v>0</v>
      </c>
      <c r="R12" s="13"/>
      <c r="S12" s="13"/>
      <c r="T12" s="13"/>
      <c r="U12" s="13"/>
      <c r="V12" s="17">
        <f t="shared" si="4"/>
        <v>0</v>
      </c>
      <c r="W12" s="13"/>
      <c r="X12" s="13"/>
      <c r="Y12" s="13"/>
      <c r="Z12" s="13"/>
      <c r="AA12" s="17">
        <f t="shared" si="5"/>
        <v>0</v>
      </c>
      <c r="AB12" s="13"/>
      <c r="AC12" s="13"/>
      <c r="AD12" s="13"/>
      <c r="AE12" s="13"/>
      <c r="AF12" s="13">
        <f aca="true" t="shared" si="6" ref="AF12:AF19">AA12+V12+Q12+L12+G12+B12</f>
        <v>0</v>
      </c>
    </row>
    <row r="13" spans="1:34" s="24" customFormat="1" ht="16.5" customHeight="1">
      <c r="A13" s="36" t="s">
        <v>292</v>
      </c>
      <c r="B13" s="17">
        <f t="shared" si="0"/>
        <v>8267.896265832116</v>
      </c>
      <c r="C13" s="17">
        <f>'приложение 1'!C13+'приложение 1'!C19-'приложение 1'!C26</f>
        <v>0</v>
      </c>
      <c r="D13" s="17">
        <f>'приложение 1'!D13+'приложение 1'!D19-'приложение 1'!D26</f>
        <v>2754.564541944039</v>
      </c>
      <c r="E13" s="17">
        <f>'приложение 1'!E13+'приложение 1'!E19-'приложение 1'!E26</f>
        <v>2746.159261944039</v>
      </c>
      <c r="F13" s="17">
        <f>'приложение 1'!F13+'приложение 1'!F19-'приложение 1'!F26</f>
        <v>2767.172461944039</v>
      </c>
      <c r="G13" s="17">
        <f t="shared" si="1"/>
        <v>11175.94553604</v>
      </c>
      <c r="H13" s="17">
        <f>'приложение 1'!H13+'приложение 1'!H19-'приложение 1'!H26</f>
        <v>2831.207374791241</v>
      </c>
      <c r="I13" s="17">
        <f>'приложение 1'!I13+'приложение 1'!I19-'приложение 1'!I26</f>
        <v>2780.1785070829196</v>
      </c>
      <c r="J13" s="17">
        <f>'приложение 1'!J13+'приложение 1'!J19-'приложение 1'!J26</f>
        <v>2771.7732270829197</v>
      </c>
      <c r="K13" s="17">
        <f>'приложение 1'!K13+'приложение 1'!K19-'приложение 1'!K26</f>
        <v>2792.78642708292</v>
      </c>
      <c r="L13" s="17">
        <f t="shared" si="2"/>
        <v>11281.218932760801</v>
      </c>
      <c r="M13" s="17">
        <f>'приложение 1'!M13+'приложение 1'!M19-'приложение 1'!M26</f>
        <v>2858.1020381870653</v>
      </c>
      <c r="N13" s="17">
        <f>'приложение 1'!N13+'приложение 1'!N19-'приложение 1'!N26</f>
        <v>2806.304751524578</v>
      </c>
      <c r="O13" s="17">
        <f>'приложение 1'!O13+'приложение 1'!O19-'приложение 1'!O26</f>
        <v>2797.899471524578</v>
      </c>
      <c r="P13" s="17">
        <f>'приложение 1'!P13+'приложение 1'!P19-'приложение 1'!P26</f>
        <v>2818.9126715245784</v>
      </c>
      <c r="Q13" s="17">
        <f t="shared" si="3"/>
        <v>11388.597797416018</v>
      </c>
      <c r="R13" s="17">
        <f>'приложение 1'!R13+'приложение 1'!R19-'приложение 1'!R26</f>
        <v>2885.534594850807</v>
      </c>
      <c r="S13" s="17">
        <f>'приложение 1'!S13+'приложение 1'!S19-'приложение 1'!S26</f>
        <v>2832.9535208550697</v>
      </c>
      <c r="T13" s="17">
        <f>'приложение 1'!T13+'приложение 1'!T19-'приложение 1'!T26</f>
        <v>2824.5482408550697</v>
      </c>
      <c r="U13" s="17">
        <f>'приложение 1'!U13+'приложение 1'!U19-'приложение 1'!U26</f>
        <v>2845.56144085507</v>
      </c>
      <c r="V13" s="17">
        <f t="shared" si="4"/>
        <v>11498.124239364339</v>
      </c>
      <c r="W13" s="17">
        <f>'приложение 1'!W13+'приложение 1'!W19-'приложение 1'!W26</f>
        <v>2913.5158026478234</v>
      </c>
      <c r="X13" s="17">
        <f>'приложение 1'!X13+'приложение 1'!X19-'приложение 1'!X26</f>
        <v>2860.135265572171</v>
      </c>
      <c r="Y13" s="17">
        <f>'приложение 1'!Y13+'приложение 1'!Y19-'приложение 1'!Y26</f>
        <v>2851.7299855721712</v>
      </c>
      <c r="Z13" s="17">
        <f>'приложение 1'!Z13+'приложение 1'!Z19-'приложение 1'!Z26</f>
        <v>2872.7431855721716</v>
      </c>
      <c r="AA13" s="17">
        <f t="shared" si="5"/>
        <v>0</v>
      </c>
      <c r="AB13" s="17">
        <f>'приложение 1'!AB13+'приложение 1'!AB19-'приложение 1'!AB26</f>
        <v>0</v>
      </c>
      <c r="AC13" s="17">
        <f>'приложение 1'!AC13+'приложение 1'!AC19-'приложение 1'!AC26</f>
        <v>0</v>
      </c>
      <c r="AD13" s="17">
        <f>'приложение 1'!AD13+'приложение 1'!AD19-'приложение 1'!AD26</f>
        <v>0</v>
      </c>
      <c r="AE13" s="17">
        <f>'приложение 1'!AE13+'приложение 1'!AE19-'приложение 1'!AE26</f>
        <v>0</v>
      </c>
      <c r="AF13" s="13">
        <f t="shared" si="6"/>
        <v>53611.78277141328</v>
      </c>
      <c r="AH13" s="15"/>
    </row>
    <row r="14" spans="1:34" s="24" customFormat="1" ht="16.5" customHeight="1">
      <c r="A14" s="36" t="s">
        <v>294</v>
      </c>
      <c r="B14" s="17">
        <f t="shared" si="0"/>
        <v>259.016595</v>
      </c>
      <c r="C14" s="17">
        <f>'приложение 1'!C24</f>
        <v>0</v>
      </c>
      <c r="D14" s="17">
        <f>'приложение 1'!D24</f>
        <v>86.338865</v>
      </c>
      <c r="E14" s="17">
        <f>'приложение 1'!E24</f>
        <v>86.338865</v>
      </c>
      <c r="F14" s="17">
        <f>'приложение 1'!F24</f>
        <v>86.338865</v>
      </c>
      <c r="G14" s="17">
        <f t="shared" si="1"/>
        <v>345.35546</v>
      </c>
      <c r="H14" s="17">
        <f>'приложение 1'!H24</f>
        <v>86.338865</v>
      </c>
      <c r="I14" s="17">
        <f>'приложение 1'!I24</f>
        <v>86.338865</v>
      </c>
      <c r="J14" s="17">
        <f>'приложение 1'!J24</f>
        <v>86.338865</v>
      </c>
      <c r="K14" s="17">
        <f>'приложение 1'!K24</f>
        <v>86.338865</v>
      </c>
      <c r="L14" s="17">
        <f t="shared" si="2"/>
        <v>345.35546</v>
      </c>
      <c r="M14" s="17">
        <f>'приложение 1'!M24</f>
        <v>86.338865</v>
      </c>
      <c r="N14" s="17">
        <f>'приложение 1'!N24</f>
        <v>86.338865</v>
      </c>
      <c r="O14" s="17">
        <f>'приложение 1'!O24</f>
        <v>86.338865</v>
      </c>
      <c r="P14" s="17">
        <f>'приложение 1'!P24</f>
        <v>86.338865</v>
      </c>
      <c r="Q14" s="17">
        <f t="shared" si="3"/>
        <v>345.35546</v>
      </c>
      <c r="R14" s="17">
        <f>'приложение 1'!R24</f>
        <v>86.338865</v>
      </c>
      <c r="S14" s="17">
        <f>'приложение 1'!S24</f>
        <v>86.338865</v>
      </c>
      <c r="T14" s="17">
        <f>'приложение 1'!T24</f>
        <v>86.338865</v>
      </c>
      <c r="U14" s="17">
        <f>'приложение 1'!U24</f>
        <v>86.338865</v>
      </c>
      <c r="V14" s="17">
        <f t="shared" si="4"/>
        <v>345.35546</v>
      </c>
      <c r="W14" s="17">
        <f>'приложение 1'!W24</f>
        <v>86.338865</v>
      </c>
      <c r="X14" s="17">
        <f>'приложение 1'!X24</f>
        <v>86.338865</v>
      </c>
      <c r="Y14" s="17">
        <f>'приложение 1'!Y24</f>
        <v>86.338865</v>
      </c>
      <c r="Z14" s="17">
        <f>'приложение 1'!Z24</f>
        <v>86.338865</v>
      </c>
      <c r="AA14" s="17">
        <f t="shared" si="5"/>
        <v>0</v>
      </c>
      <c r="AB14" s="17">
        <f>'приложение 1'!AB24</f>
        <v>0</v>
      </c>
      <c r="AC14" s="17">
        <f>'приложение 1'!AC24</f>
        <v>0</v>
      </c>
      <c r="AD14" s="17">
        <f>'приложение 1'!AD24</f>
        <v>0</v>
      </c>
      <c r="AE14" s="17">
        <f>'приложение 1'!AE24</f>
        <v>0</v>
      </c>
      <c r="AF14" s="13">
        <f t="shared" si="6"/>
        <v>1640.438435</v>
      </c>
      <c r="AH14" s="15"/>
    </row>
    <row r="15" spans="1:32" s="15" customFormat="1" ht="14.25" customHeight="1">
      <c r="A15" s="37" t="s">
        <v>293</v>
      </c>
      <c r="B15" s="17">
        <f t="shared" si="0"/>
        <v>0</v>
      </c>
      <c r="C15" s="13">
        <f>'приложение 1'!C26+'приложение 1'!C30</f>
        <v>0</v>
      </c>
      <c r="D15" s="13">
        <f>'приложение 1'!D26+'приложение 1'!D30</f>
        <v>0</v>
      </c>
      <c r="E15" s="13">
        <f>'приложение 1'!E26+'приложение 1'!E30</f>
        <v>0</v>
      </c>
      <c r="F15" s="13">
        <f>'приложение 1'!F26+'приложение 1'!F30</f>
        <v>0</v>
      </c>
      <c r="G15" s="17">
        <f t="shared" si="1"/>
        <v>15.89</v>
      </c>
      <c r="H15" s="13">
        <f>'приложение 1'!H26+'приложение 1'!H30</f>
        <v>0</v>
      </c>
      <c r="I15" s="13">
        <f>'приложение 1'!I26+'приложение 1'!I30</f>
        <v>0</v>
      </c>
      <c r="J15" s="13">
        <f>'приложение 1'!J26+'приложение 1'!J30</f>
        <v>0</v>
      </c>
      <c r="K15" s="13">
        <f>'приложение 1'!K26+'приложение 1'!K30</f>
        <v>15.89</v>
      </c>
      <c r="L15" s="17">
        <f t="shared" si="2"/>
        <v>23.835</v>
      </c>
      <c r="M15" s="13">
        <f>'приложение 1'!M26+'приложение 1'!M30</f>
        <v>7.945</v>
      </c>
      <c r="N15" s="13">
        <f>'приложение 1'!N26+'приложение 1'!N30</f>
        <v>0</v>
      </c>
      <c r="O15" s="13">
        <f>'приложение 1'!O26+'приложение 1'!O30</f>
        <v>0</v>
      </c>
      <c r="P15" s="13">
        <f>'приложение 1'!P26+'приложение 1'!P30</f>
        <v>15.89</v>
      </c>
      <c r="Q15" s="17">
        <f t="shared" si="3"/>
        <v>23.835</v>
      </c>
      <c r="R15" s="13">
        <f>'приложение 1'!R26+'приложение 1'!R30</f>
        <v>7.945</v>
      </c>
      <c r="S15" s="13">
        <f>'приложение 1'!S26+'приложение 1'!S30</f>
        <v>0</v>
      </c>
      <c r="T15" s="13">
        <f>'приложение 1'!T26+'приложение 1'!T30</f>
        <v>0</v>
      </c>
      <c r="U15" s="13">
        <f>'приложение 1'!U26+'приложение 1'!U30</f>
        <v>15.89</v>
      </c>
      <c r="V15" s="17">
        <f t="shared" si="4"/>
        <v>23.835</v>
      </c>
      <c r="W15" s="13">
        <f>'приложение 1'!W26+'приложение 1'!W30</f>
        <v>7.945</v>
      </c>
      <c r="X15" s="13">
        <f>'приложение 1'!X26+'приложение 1'!X30</f>
        <v>0</v>
      </c>
      <c r="Y15" s="13">
        <f>'приложение 1'!Y26+'приложение 1'!Y30</f>
        <v>0</v>
      </c>
      <c r="Z15" s="13">
        <f>'приложение 1'!Z26+'приложение 1'!Z30</f>
        <v>15.89</v>
      </c>
      <c r="AA15" s="17">
        <f t="shared" si="5"/>
        <v>0</v>
      </c>
      <c r="AB15" s="13">
        <f>'приложение 1'!AB26+'приложение 1'!AB30</f>
        <v>0</v>
      </c>
      <c r="AC15" s="13">
        <f>'приложение 1'!AC26+'приложение 1'!AC30</f>
        <v>0</v>
      </c>
      <c r="AD15" s="13">
        <f>'приложение 1'!AD26+'приложение 1'!AD30</f>
        <v>0</v>
      </c>
      <c r="AE15" s="13">
        <f>'приложение 1'!AE26+'приложение 1'!AE30</f>
        <v>0</v>
      </c>
      <c r="AF15" s="13">
        <f t="shared" si="6"/>
        <v>87.395</v>
      </c>
    </row>
    <row r="16" spans="1:34" s="16" customFormat="1" ht="15" customHeight="1">
      <c r="A16" s="13" t="s">
        <v>43</v>
      </c>
      <c r="B16" s="17">
        <f t="shared" si="0"/>
        <v>2316.8203291678838</v>
      </c>
      <c r="C16" s="17">
        <f>C11-C13+C14-C15</f>
        <v>0</v>
      </c>
      <c r="D16" s="17">
        <f>D11-D13+D14-D15</f>
        <v>773.6743230559612</v>
      </c>
      <c r="E16" s="17">
        <f>E11-E13+E14-E15</f>
        <v>782.0796030559611</v>
      </c>
      <c r="F16" s="17">
        <f>F11-F13+F14-F15</f>
        <v>761.0664030559612</v>
      </c>
      <c r="G16" s="17">
        <f t="shared" si="1"/>
        <v>3299.7289239600004</v>
      </c>
      <c r="H16" s="17">
        <f>H11-H13+H14-H15</f>
        <v>869.1264902087594</v>
      </c>
      <c r="I16" s="17">
        <f>I11-I13+I14-I15</f>
        <v>816.8983579170806</v>
      </c>
      <c r="J16" s="17">
        <f>J11-J13+J14-J15</f>
        <v>825.3036379170806</v>
      </c>
      <c r="K16" s="17">
        <f>K11-K13+K14-K15</f>
        <v>788.4004379170802</v>
      </c>
      <c r="L16" s="17">
        <f t="shared" si="2"/>
        <v>3469.4347072392006</v>
      </c>
      <c r="M16" s="17">
        <f>M11-M13+M14-M15</f>
        <v>906.5667268129349</v>
      </c>
      <c r="N16" s="17">
        <f>N11-N13+N14-N15</f>
        <v>860.986873475422</v>
      </c>
      <c r="O16" s="17">
        <f>O11-O13+O14-O15</f>
        <v>869.392153475422</v>
      </c>
      <c r="P16" s="17">
        <f>P11-P13+P14-P15</f>
        <v>832.4889534754217</v>
      </c>
      <c r="Q16" s="17">
        <f t="shared" si="3"/>
        <v>3650.6385061839846</v>
      </c>
      <c r="R16" s="17">
        <f>R11-R13+R14-R15</f>
        <v>952.8596681491935</v>
      </c>
      <c r="S16" s="17">
        <f>S11-S13+S14-S15</f>
        <v>905.9571593449307</v>
      </c>
      <c r="T16" s="17">
        <f>T11-T13+T14-T15</f>
        <v>914.3624393449306</v>
      </c>
      <c r="U16" s="17">
        <f>U11-U13+U14-U15</f>
        <v>877.4592393449303</v>
      </c>
      <c r="V16" s="17">
        <f t="shared" si="4"/>
        <v>3835.4663811076643</v>
      </c>
      <c r="W16" s="17">
        <f>W11-W13+W14-W15</f>
        <v>1000.0784683121773</v>
      </c>
      <c r="X16" s="17">
        <f>X11-X13+X14-X15</f>
        <v>951.8268509318293</v>
      </c>
      <c r="Y16" s="17">
        <f>Y11-Y13+Y14-Y15</f>
        <v>960.2321309318293</v>
      </c>
      <c r="Z16" s="17">
        <f>Z11-Z13+Z14-Z15</f>
        <v>923.328930931829</v>
      </c>
      <c r="AA16" s="17">
        <f t="shared" si="5"/>
        <v>0</v>
      </c>
      <c r="AB16" s="17">
        <f>AB11-AB13+AB14-AB15</f>
        <v>0</v>
      </c>
      <c r="AC16" s="17">
        <f>AC11-AC13+AC14-AC15</f>
        <v>0</v>
      </c>
      <c r="AD16" s="17">
        <f>AD11-AD13+AD14-AD15</f>
        <v>0</v>
      </c>
      <c r="AE16" s="17">
        <f>AE11-AE13+AE14-AE15</f>
        <v>0</v>
      </c>
      <c r="AF16" s="13">
        <f t="shared" si="6"/>
        <v>16572.088847658735</v>
      </c>
      <c r="AH16" s="15"/>
    </row>
    <row r="17" spans="1:32" s="15" customFormat="1" ht="13.5" customHeight="1">
      <c r="A17" s="171" t="s">
        <v>297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</row>
    <row r="18" spans="1:32" s="15" customFormat="1" ht="15.75" customHeight="1">
      <c r="A18" s="13" t="s">
        <v>295</v>
      </c>
      <c r="B18" s="13">
        <f>SUM(C18:F18)</f>
        <v>2390.32022</v>
      </c>
      <c r="C18" s="13">
        <f>IF('таблицы в текст'!$D$35=1,'таблицы в текст'!$C$267,0)</f>
        <v>2390.32022</v>
      </c>
      <c r="D18" s="13">
        <f>IF('таблицы в текст'!$D$35=2,'таблицы в текст'!$C$267,0)</f>
        <v>0</v>
      </c>
      <c r="E18" s="13">
        <f>IF('таблицы в текст'!$D$35=3,'таблицы в текст'!$C$267,0)</f>
        <v>0</v>
      </c>
      <c r="F18" s="13">
        <f>IF('таблицы в текст'!$D$35=4,'таблицы в текст'!$C$267,0)</f>
        <v>0</v>
      </c>
      <c r="G18" s="13">
        <f>SUM(H18:K18)</f>
        <v>0</v>
      </c>
      <c r="H18" s="13"/>
      <c r="I18" s="13"/>
      <c r="J18" s="13"/>
      <c r="K18" s="13"/>
      <c r="L18" s="13">
        <f>SUM(M18:P18)</f>
        <v>0</v>
      </c>
      <c r="M18" s="13"/>
      <c r="N18" s="13"/>
      <c r="O18" s="13"/>
      <c r="P18" s="13"/>
      <c r="Q18" s="13">
        <f>SUM(R18:U18)</f>
        <v>0</v>
      </c>
      <c r="R18" s="13"/>
      <c r="S18" s="13"/>
      <c r="T18" s="13"/>
      <c r="U18" s="13"/>
      <c r="V18" s="13">
        <f>SUM(W18:Z18)</f>
        <v>0</v>
      </c>
      <c r="W18" s="13"/>
      <c r="X18" s="13"/>
      <c r="Y18" s="13"/>
      <c r="Z18" s="13"/>
      <c r="AA18" s="13">
        <f>SUM(AB18:AE18)</f>
        <v>0</v>
      </c>
      <c r="AB18" s="13"/>
      <c r="AC18" s="13"/>
      <c r="AD18" s="13"/>
      <c r="AE18" s="13"/>
      <c r="AF18" s="13">
        <f t="shared" si="6"/>
        <v>2390.32022</v>
      </c>
    </row>
    <row r="19" spans="1:34" s="16" customFormat="1" ht="15.75" customHeight="1">
      <c r="A19" s="17" t="s">
        <v>45</v>
      </c>
      <c r="B19" s="17">
        <f aca="true" t="shared" si="7" ref="B19:AE19">-B18</f>
        <v>-2390.32022</v>
      </c>
      <c r="C19" s="17">
        <f t="shared" si="7"/>
        <v>-2390.32022</v>
      </c>
      <c r="D19" s="17">
        <f t="shared" si="7"/>
        <v>0</v>
      </c>
      <c r="E19" s="17">
        <f t="shared" si="7"/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7"/>
        <v>0</v>
      </c>
      <c r="P19" s="17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0</v>
      </c>
      <c r="T19" s="17">
        <f t="shared" si="7"/>
        <v>0</v>
      </c>
      <c r="U19" s="17">
        <f t="shared" si="7"/>
        <v>0</v>
      </c>
      <c r="V19" s="17">
        <f t="shared" si="7"/>
        <v>0</v>
      </c>
      <c r="W19" s="17">
        <f t="shared" si="7"/>
        <v>0</v>
      </c>
      <c r="X19" s="17">
        <f t="shared" si="7"/>
        <v>0</v>
      </c>
      <c r="Y19" s="17">
        <f t="shared" si="7"/>
        <v>0</v>
      </c>
      <c r="Z19" s="17">
        <f t="shared" si="7"/>
        <v>0</v>
      </c>
      <c r="AA19" s="17">
        <f t="shared" si="7"/>
        <v>0</v>
      </c>
      <c r="AB19" s="17">
        <f t="shared" si="7"/>
        <v>0</v>
      </c>
      <c r="AC19" s="17">
        <f t="shared" si="7"/>
        <v>0</v>
      </c>
      <c r="AD19" s="17">
        <f t="shared" si="7"/>
        <v>0</v>
      </c>
      <c r="AE19" s="17">
        <f t="shared" si="7"/>
        <v>0</v>
      </c>
      <c r="AF19" s="13">
        <f t="shared" si="6"/>
        <v>-2390.32022</v>
      </c>
      <c r="AH19" s="15"/>
    </row>
    <row r="20" spans="1:32" s="15" customFormat="1" ht="13.5" customHeight="1">
      <c r="A20" s="171" t="s">
        <v>298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</row>
    <row r="21" spans="1:32" s="15" customFormat="1" ht="12.75">
      <c r="A21" s="38" t="s">
        <v>46</v>
      </c>
      <c r="B21" s="14">
        <f>B23+B24</f>
        <v>292.22001529863013</v>
      </c>
      <c r="C21" s="14">
        <f>C23+C24</f>
        <v>292.22001529863013</v>
      </c>
      <c r="D21" s="14">
        <f>D23+D24</f>
        <v>0</v>
      </c>
      <c r="E21" s="14">
        <f>E23+E24</f>
        <v>0</v>
      </c>
      <c r="F21" s="14">
        <f>F23+F24</f>
        <v>0</v>
      </c>
      <c r="G21" s="14">
        <f aca="true" t="shared" si="8" ref="G21:AE21">G23+G24</f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  <c r="S21" s="14">
        <f t="shared" si="8"/>
        <v>0</v>
      </c>
      <c r="T21" s="14">
        <f t="shared" si="8"/>
        <v>0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4">
        <f t="shared" si="8"/>
        <v>0</v>
      </c>
      <c r="Y21" s="14">
        <f t="shared" si="8"/>
        <v>0</v>
      </c>
      <c r="Z21" s="14">
        <f t="shared" si="8"/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3">
        <f aca="true" t="shared" si="9" ref="AF21:AF29">AA21+V21+Q21+L21+G21+B21</f>
        <v>292.22001529863013</v>
      </c>
    </row>
    <row r="22" spans="1:34" s="27" customFormat="1" ht="12" customHeight="1">
      <c r="A22" s="39" t="s">
        <v>9</v>
      </c>
      <c r="B22" s="14">
        <f>SUM(D22:F22)</f>
        <v>0</v>
      </c>
      <c r="C22" s="26"/>
      <c r="D22" s="26"/>
      <c r="E22" s="26"/>
      <c r="F22" s="26"/>
      <c r="G22" s="14">
        <f aca="true" t="shared" si="10" ref="G22:G27">SUM(H22:K22)</f>
        <v>0</v>
      </c>
      <c r="H22" s="26"/>
      <c r="I22" s="26"/>
      <c r="J22" s="26"/>
      <c r="K22" s="26"/>
      <c r="L22" s="14">
        <f aca="true" t="shared" si="11" ref="L22:L27">SUM(M22:P22)</f>
        <v>0</v>
      </c>
      <c r="M22" s="26"/>
      <c r="N22" s="26"/>
      <c r="O22" s="26"/>
      <c r="P22" s="26"/>
      <c r="Q22" s="14">
        <f aca="true" t="shared" si="12" ref="Q22:Q27">SUM(R22:U22)</f>
        <v>0</v>
      </c>
      <c r="R22" s="26"/>
      <c r="S22" s="26"/>
      <c r="T22" s="26"/>
      <c r="U22" s="26"/>
      <c r="V22" s="14">
        <f aca="true" t="shared" si="13" ref="V22:V27">SUM(W22:Z22)</f>
        <v>0</v>
      </c>
      <c r="W22" s="26"/>
      <c r="X22" s="26"/>
      <c r="Y22" s="26"/>
      <c r="Z22" s="26"/>
      <c r="AA22" s="14">
        <f aca="true" t="shared" si="14" ref="AA22:AA27">SUM(AB22:AE22)</f>
        <v>0</v>
      </c>
      <c r="AB22" s="26"/>
      <c r="AC22" s="26"/>
      <c r="AD22" s="26"/>
      <c r="AE22" s="26"/>
      <c r="AF22" s="13">
        <f t="shared" si="9"/>
        <v>0</v>
      </c>
      <c r="AH22" s="15"/>
    </row>
    <row r="23" spans="1:34" s="27" customFormat="1" ht="12.75">
      <c r="A23" s="39" t="s">
        <v>296</v>
      </c>
      <c r="B23" s="14">
        <f>SUM(C23:F23)</f>
        <v>250</v>
      </c>
      <c r="C23" s="26">
        <f>IF(C18&gt;0,'таблицы в текст'!C253,0)</f>
        <v>250</v>
      </c>
      <c r="D23" s="26">
        <f>IF(D18&gt;0,'таблицы в текст'!D253,0)</f>
        <v>0</v>
      </c>
      <c r="E23" s="26">
        <f>IF(E18&gt;0,'таблицы в текст'!E253,0)</f>
        <v>0</v>
      </c>
      <c r="F23" s="26">
        <f>IF(F18&gt;0,'таблицы в текст'!F253,0)</f>
        <v>0</v>
      </c>
      <c r="G23" s="14">
        <f t="shared" si="10"/>
        <v>0</v>
      </c>
      <c r="H23" s="26">
        <f>IF(H18&gt;0,'таблицы в текст'!H253,0)</f>
        <v>0</v>
      </c>
      <c r="I23" s="26">
        <f>IF(I18&gt;0,'таблицы в текст'!I253,0)</f>
        <v>0</v>
      </c>
      <c r="J23" s="26">
        <f>IF(J18&gt;0,'таблицы в текст'!J253,0)</f>
        <v>0</v>
      </c>
      <c r="K23" s="26">
        <f>IF(K18&gt;0,'таблицы в текст'!K253,0)</f>
        <v>0</v>
      </c>
      <c r="L23" s="14">
        <f t="shared" si="11"/>
        <v>0</v>
      </c>
      <c r="M23" s="26">
        <f>IF(M18&gt;0,'таблицы в текст'!M253,0)</f>
        <v>0</v>
      </c>
      <c r="N23" s="26">
        <f>IF(N18&gt;0,'таблицы в текст'!N253,0)</f>
        <v>0</v>
      </c>
      <c r="O23" s="26">
        <f>IF(O18&gt;0,'таблицы в текст'!O253,0)</f>
        <v>0</v>
      </c>
      <c r="P23" s="26">
        <f>IF(P18&gt;0,'таблицы в текст'!P253,0)</f>
        <v>0</v>
      </c>
      <c r="Q23" s="14">
        <f t="shared" si="12"/>
        <v>0</v>
      </c>
      <c r="R23" s="26">
        <f>IF(R18&gt;0,'таблицы в текст'!R253,0)</f>
        <v>0</v>
      </c>
      <c r="S23" s="26">
        <f>IF(S18&gt;0,'таблицы в текст'!S253,0)</f>
        <v>0</v>
      </c>
      <c r="T23" s="26">
        <f>IF(T18&gt;0,'таблицы в текст'!T253,0)</f>
        <v>0</v>
      </c>
      <c r="U23" s="26">
        <f>IF(U18&gt;0,'таблицы в текст'!U253,0)</f>
        <v>0</v>
      </c>
      <c r="V23" s="14">
        <f t="shared" si="13"/>
        <v>0</v>
      </c>
      <c r="W23" s="26">
        <f>IF(W18&gt;0,'таблицы в текст'!W253,0)</f>
        <v>0</v>
      </c>
      <c r="X23" s="26">
        <f>IF(X18&gt;0,'таблицы в текст'!X253,0)</f>
        <v>0</v>
      </c>
      <c r="Y23" s="26">
        <f>IF(Y18&gt;0,'таблицы в текст'!Y253,0)</f>
        <v>0</v>
      </c>
      <c r="Z23" s="26">
        <f>IF(Z18&gt;0,'таблицы в текст'!Z253,0)</f>
        <v>0</v>
      </c>
      <c r="AA23" s="14">
        <f t="shared" si="14"/>
        <v>0</v>
      </c>
      <c r="AB23" s="26">
        <f>IF(AB18&gt;0,'таблицы в текст'!AB253,0)</f>
        <v>0</v>
      </c>
      <c r="AC23" s="26">
        <f>IF(AC18&gt;0,'таблицы в текст'!AC253,0)</f>
        <v>0</v>
      </c>
      <c r="AD23" s="26">
        <f>IF(AD18&gt;0,'таблицы в текст'!AD253,0)</f>
        <v>0</v>
      </c>
      <c r="AE23" s="26">
        <f>IF(AE18&gt;0,'таблицы в текст'!AE253,0)</f>
        <v>0</v>
      </c>
      <c r="AF23" s="13">
        <f t="shared" si="9"/>
        <v>250</v>
      </c>
      <c r="AH23" s="15"/>
    </row>
    <row r="24" spans="1:34" s="27" customFormat="1" ht="12.75">
      <c r="A24" s="39" t="s">
        <v>33</v>
      </c>
      <c r="B24" s="26">
        <f>SUM(C24:F24)</f>
        <v>42.22001529863014</v>
      </c>
      <c r="C24" s="26">
        <f>IF(C11=0,C26,0)</f>
        <v>42.22001529863014</v>
      </c>
      <c r="D24" s="26">
        <f>IF(D11=0,D26,0)</f>
        <v>0</v>
      </c>
      <c r="E24" s="26">
        <f>IF(E11=0,E26,0)</f>
        <v>0</v>
      </c>
      <c r="F24" s="26">
        <f>IF(F11=0,F26,0)</f>
        <v>0</v>
      </c>
      <c r="G24" s="26">
        <f t="shared" si="10"/>
        <v>0</v>
      </c>
      <c r="H24" s="26">
        <f>IF(H11=0,H26,0)</f>
        <v>0</v>
      </c>
      <c r="I24" s="26">
        <f>IF(I11=0,I26,0)</f>
        <v>0</v>
      </c>
      <c r="J24" s="26">
        <f>IF(J11=0,J26,0)</f>
        <v>0</v>
      </c>
      <c r="K24" s="26">
        <f>IF(K11=0,K26,0)</f>
        <v>0</v>
      </c>
      <c r="L24" s="26">
        <f t="shared" si="11"/>
        <v>0</v>
      </c>
      <c r="M24" s="26">
        <f>IF(M11=0,M26,0)</f>
        <v>0</v>
      </c>
      <c r="N24" s="26">
        <f>IF(N11=0,N26,0)</f>
        <v>0</v>
      </c>
      <c r="O24" s="26">
        <f>IF(O11=0,O26,0)</f>
        <v>0</v>
      </c>
      <c r="P24" s="26">
        <f>IF(P11=0,P26,0)</f>
        <v>0</v>
      </c>
      <c r="Q24" s="26">
        <f t="shared" si="12"/>
        <v>0</v>
      </c>
      <c r="R24" s="26">
        <f>IF(R11=0,R26,0)</f>
        <v>0</v>
      </c>
      <c r="S24" s="26">
        <f>IF(S11=0,S26,0)</f>
        <v>0</v>
      </c>
      <c r="T24" s="26">
        <f>IF(T11=0,T26,0)</f>
        <v>0</v>
      </c>
      <c r="U24" s="26">
        <f>IF(U11=0,U26,0)</f>
        <v>0</v>
      </c>
      <c r="V24" s="26">
        <f t="shared" si="13"/>
        <v>0</v>
      </c>
      <c r="W24" s="26">
        <f>IF(W11=0,W26,0)</f>
        <v>0</v>
      </c>
      <c r="X24" s="26">
        <f>IF(X11=0,X26,0)</f>
        <v>0</v>
      </c>
      <c r="Y24" s="26">
        <f>IF(Y11=0,Y26,0)</f>
        <v>0</v>
      </c>
      <c r="Z24" s="26">
        <f>IF(Z11=0,Z26,0)</f>
        <v>0</v>
      </c>
      <c r="AA24" s="26">
        <f t="shared" si="14"/>
        <v>0</v>
      </c>
      <c r="AB24" s="26">
        <f>IF(AB11=0,AB26,0)</f>
        <v>0</v>
      </c>
      <c r="AC24" s="26">
        <f>IF(AC11=0,AC26,0)</f>
        <v>0</v>
      </c>
      <c r="AD24" s="26">
        <f>IF(AD11=0,AD26,0)</f>
        <v>0</v>
      </c>
      <c r="AE24" s="26">
        <f>IF(AE11=0,AE26,0)</f>
        <v>0</v>
      </c>
      <c r="AF24" s="13">
        <f t="shared" si="9"/>
        <v>42.22001529863014</v>
      </c>
      <c r="AH24" s="15"/>
    </row>
    <row r="25" spans="1:32" s="15" customFormat="1" ht="15" customHeight="1">
      <c r="A25" s="38" t="s">
        <v>44</v>
      </c>
      <c r="B25" s="14">
        <f>SUM(C25:F25)</f>
        <v>2140.32022</v>
      </c>
      <c r="C25" s="14">
        <f>IF(C18&gt;0,'таблицы в текст'!$C$249,0)</f>
        <v>2140.32022</v>
      </c>
      <c r="D25" s="14">
        <f>IF(D18&gt;0,'таблицы в текст'!$C$249,0)</f>
        <v>0</v>
      </c>
      <c r="E25" s="14">
        <f>IF(E18&gt;0,'таблицы в текст'!$C$249,0)</f>
        <v>0</v>
      </c>
      <c r="F25" s="14">
        <f>IF(F18&gt;0,'таблицы в текст'!$C$249,0)</f>
        <v>0</v>
      </c>
      <c r="G25" s="26">
        <f t="shared" si="10"/>
        <v>0</v>
      </c>
      <c r="H25" s="14"/>
      <c r="I25" s="14"/>
      <c r="J25" s="14"/>
      <c r="K25" s="14"/>
      <c r="L25" s="26">
        <f t="shared" si="11"/>
        <v>0</v>
      </c>
      <c r="M25" s="14"/>
      <c r="N25" s="14"/>
      <c r="O25" s="14"/>
      <c r="P25" s="14"/>
      <c r="Q25" s="26">
        <f t="shared" si="12"/>
        <v>0</v>
      </c>
      <c r="R25" s="14"/>
      <c r="S25" s="14"/>
      <c r="T25" s="14"/>
      <c r="U25" s="14"/>
      <c r="V25" s="26">
        <f t="shared" si="13"/>
        <v>0</v>
      </c>
      <c r="W25" s="14"/>
      <c r="X25" s="14"/>
      <c r="Y25" s="14"/>
      <c r="Z25" s="14"/>
      <c r="AA25" s="26">
        <f t="shared" si="14"/>
        <v>0</v>
      </c>
      <c r="AB25" s="14"/>
      <c r="AC25" s="14"/>
      <c r="AD25" s="14"/>
      <c r="AE25" s="14"/>
      <c r="AF25" s="13">
        <f t="shared" si="9"/>
        <v>2140.32022</v>
      </c>
    </row>
    <row r="26" spans="1:32" s="15" customFormat="1" ht="17.25" customHeight="1">
      <c r="A26" s="14" t="s">
        <v>47</v>
      </c>
      <c r="B26" s="14">
        <f>SUM(C26:F26)</f>
        <v>165.68421401357875</v>
      </c>
      <c r="C26" s="14">
        <f>'таблицы в текст'!C279</f>
        <v>42.22001529863014</v>
      </c>
      <c r="D26" s="14">
        <f>'таблицы в текст'!D279</f>
        <v>42.68912657972603</v>
      </c>
      <c r="E26" s="14">
        <f>'таблицы в текст'!E279</f>
        <v>41.32030382105938</v>
      </c>
      <c r="F26" s="14">
        <f>'таблицы в текст'!F279</f>
        <v>39.45476831416319</v>
      </c>
      <c r="G26" s="14">
        <f t="shared" si="10"/>
        <v>137.1305285579782</v>
      </c>
      <c r="H26" s="14">
        <f>'таблицы в текст'!C286</f>
        <v>36.73527596780681</v>
      </c>
      <c r="I26" s="14">
        <f>'таблицы в текст'!D286</f>
        <v>35.20673843108167</v>
      </c>
      <c r="J26" s="14">
        <f>'таблицы в текст'!E286</f>
        <v>33.60481388223916</v>
      </c>
      <c r="K26" s="14">
        <f>'таблицы в текст'!F286</f>
        <v>31.583700276850593</v>
      </c>
      <c r="L26" s="14">
        <f t="shared" si="11"/>
        <v>104.30473819431639</v>
      </c>
      <c r="M26" s="14">
        <f>'таблицы в текст'!C293</f>
        <v>28.88005320146867</v>
      </c>
      <c r="N26" s="14">
        <f>'таблицы в текст'!D293</f>
        <v>27.10756137962274</v>
      </c>
      <c r="O26" s="14">
        <f>'таблицы в текст'!E293</f>
        <v>25.253319972560526</v>
      </c>
      <c r="P26" s="14">
        <f>'таблицы в текст'!F293</f>
        <v>23.06380364066446</v>
      </c>
      <c r="Q26" s="14">
        <f t="shared" si="12"/>
        <v>68.77304928326467</v>
      </c>
      <c r="R26" s="14">
        <f>'таблицы в текст'!C300</f>
        <v>20.37730799508022</v>
      </c>
      <c r="S26" s="14">
        <f>'таблицы в текст'!D300</f>
        <v>18.340752226215802</v>
      </c>
      <c r="T26" s="14">
        <f>'таблицы в текст'!E300</f>
        <v>16.213394954647203</v>
      </c>
      <c r="U26" s="14">
        <f>'таблицы в текст'!F300</f>
        <v>13.841594107321436</v>
      </c>
      <c r="V26" s="14">
        <f t="shared" si="13"/>
        <v>30.312408948787105</v>
      </c>
      <c r="W26" s="14">
        <f>'таблицы в текст'!C307</f>
        <v>11.173663719761437</v>
      </c>
      <c r="X26" s="14">
        <f>'таблицы в текст'!D307</f>
        <v>8.851276660495792</v>
      </c>
      <c r="Y26" s="14">
        <f>'таблицы в текст'!E307</f>
        <v>6.428290012549522</v>
      </c>
      <c r="Z26" s="14">
        <f>'таблицы в текст'!F307</f>
        <v>3.859178555980358</v>
      </c>
      <c r="AA26" s="14">
        <f t="shared" si="14"/>
        <v>0</v>
      </c>
      <c r="AB26" s="14">
        <f>'таблицы в текст'!C314</f>
        <v>0</v>
      </c>
      <c r="AC26" s="14">
        <f>'таблицы в текст'!D314</f>
        <v>0</v>
      </c>
      <c r="AD26" s="14">
        <f>'таблицы в текст'!E314</f>
        <v>0</v>
      </c>
      <c r="AE26" s="14">
        <f>'таблицы в текст'!F314</f>
        <v>0</v>
      </c>
      <c r="AF26" s="13">
        <f t="shared" si="9"/>
        <v>506.2049389979251</v>
      </c>
    </row>
    <row r="27" spans="1:32" s="15" customFormat="1" ht="18.75" customHeight="1">
      <c r="A27" s="14" t="s">
        <v>48</v>
      </c>
      <c r="B27" s="14">
        <f>SUM(C27:F27)</f>
        <v>278.0458132986829</v>
      </c>
      <c r="C27" s="14">
        <f>'таблицы в текст'!C280</f>
        <v>0</v>
      </c>
      <c r="D27" s="14">
        <f>'таблицы в текст'!D280</f>
        <v>91.14754409148446</v>
      </c>
      <c r="E27" s="14">
        <f>'таблицы в текст'!E280</f>
        <v>92.51636685015112</v>
      </c>
      <c r="F27" s="14">
        <f>'таблицы в текст'!F280</f>
        <v>94.38190235704731</v>
      </c>
      <c r="G27" s="14">
        <f t="shared" si="10"/>
        <v>398.2161541268637</v>
      </c>
      <c r="H27" s="14">
        <f>'таблицы в текст'!C287</f>
        <v>97.10139470340368</v>
      </c>
      <c r="I27" s="14">
        <f>'таблицы в текст'!D287</f>
        <v>98.62993224012882</v>
      </c>
      <c r="J27" s="14">
        <f>'таблицы в текст'!E287</f>
        <v>100.23185678897133</v>
      </c>
      <c r="K27" s="14">
        <f>'таблицы в текст'!F287</f>
        <v>102.2529703943599</v>
      </c>
      <c r="L27" s="14">
        <f t="shared" si="11"/>
        <v>431.0419444905256</v>
      </c>
      <c r="M27" s="14">
        <f>'таблицы в текст'!C294</f>
        <v>104.95661746974183</v>
      </c>
      <c r="N27" s="14">
        <f>'таблицы в текст'!D294</f>
        <v>106.72910929158776</v>
      </c>
      <c r="O27" s="14">
        <f>'таблицы в текст'!E294</f>
        <v>108.58335069864998</v>
      </c>
      <c r="P27" s="14">
        <f>'таблицы в текст'!F294</f>
        <v>110.77286703054604</v>
      </c>
      <c r="Q27" s="13">
        <f t="shared" si="12"/>
        <v>466.57363340157735</v>
      </c>
      <c r="R27" s="14">
        <f>'таблицы в текст'!C301</f>
        <v>113.45936267613028</v>
      </c>
      <c r="S27" s="14">
        <f>'таблицы в текст'!D301</f>
        <v>115.4959184449947</v>
      </c>
      <c r="T27" s="14">
        <f>'таблицы в текст'!E301</f>
        <v>117.6232757165633</v>
      </c>
      <c r="U27" s="14">
        <f>'таблицы в текст'!F301</f>
        <v>119.99507656388906</v>
      </c>
      <c r="V27" s="14">
        <f t="shared" si="13"/>
        <v>566.4426746823506</v>
      </c>
      <c r="W27" s="14">
        <f>'таблицы в текст'!C308</f>
        <v>122.66300695144906</v>
      </c>
      <c r="X27" s="14">
        <f>'таблицы в текст'!D308</f>
        <v>124.98539401071471</v>
      </c>
      <c r="Y27" s="14">
        <f>'таблицы в текст'!E308</f>
        <v>127.40838065866097</v>
      </c>
      <c r="Z27" s="14">
        <f>'таблицы в текст'!F308</f>
        <v>191.3858930615259</v>
      </c>
      <c r="AA27" s="13">
        <f t="shared" si="14"/>
        <v>0</v>
      </c>
      <c r="AB27" s="14">
        <f>'таблицы в текст'!C315</f>
        <v>0</v>
      </c>
      <c r="AC27" s="14">
        <f>'таблицы в текст'!D315</f>
        <v>0</v>
      </c>
      <c r="AD27" s="14">
        <f>'таблицы в текст'!E315</f>
        <v>0</v>
      </c>
      <c r="AE27" s="14">
        <f>'таблицы в текст'!F315</f>
        <v>0</v>
      </c>
      <c r="AF27" s="13">
        <f t="shared" si="9"/>
        <v>2140.32022</v>
      </c>
    </row>
    <row r="28" spans="1:34" s="16" customFormat="1" ht="19.5" customHeight="1">
      <c r="A28" s="17" t="s">
        <v>49</v>
      </c>
      <c r="B28" s="14">
        <f>B21+B25-B26-B27</f>
        <v>1988.8102079863688</v>
      </c>
      <c r="C28" s="14">
        <f aca="true" t="shared" si="15" ref="C28:AF28">C21+C25-C26-C27</f>
        <v>2390.32022</v>
      </c>
      <c r="D28" s="14">
        <f t="shared" si="15"/>
        <v>-133.8366706712105</v>
      </c>
      <c r="E28" s="14">
        <f t="shared" si="15"/>
        <v>-133.8366706712105</v>
      </c>
      <c r="F28" s="14">
        <f t="shared" si="15"/>
        <v>-133.8366706712105</v>
      </c>
      <c r="G28" s="14">
        <f t="shared" si="15"/>
        <v>-535.3466826848419</v>
      </c>
      <c r="H28" s="14">
        <f t="shared" si="15"/>
        <v>-133.8366706712105</v>
      </c>
      <c r="I28" s="14">
        <f t="shared" si="15"/>
        <v>-133.8366706712105</v>
      </c>
      <c r="J28" s="14">
        <f t="shared" si="15"/>
        <v>-133.8366706712105</v>
      </c>
      <c r="K28" s="14">
        <f t="shared" si="15"/>
        <v>-133.8366706712105</v>
      </c>
      <c r="L28" s="14">
        <f t="shared" si="15"/>
        <v>-535.346682684842</v>
      </c>
      <c r="M28" s="14">
        <f t="shared" si="15"/>
        <v>-133.8366706712105</v>
      </c>
      <c r="N28" s="14">
        <f t="shared" si="15"/>
        <v>-133.8366706712105</v>
      </c>
      <c r="O28" s="14">
        <f t="shared" si="15"/>
        <v>-133.8366706712105</v>
      </c>
      <c r="P28" s="14">
        <f t="shared" si="15"/>
        <v>-133.8366706712105</v>
      </c>
      <c r="Q28" s="14">
        <f t="shared" si="15"/>
        <v>-535.346682684842</v>
      </c>
      <c r="R28" s="14">
        <f t="shared" si="15"/>
        <v>-133.8366706712105</v>
      </c>
      <c r="S28" s="14">
        <f t="shared" si="15"/>
        <v>-133.8366706712105</v>
      </c>
      <c r="T28" s="14">
        <f t="shared" si="15"/>
        <v>-133.8366706712105</v>
      </c>
      <c r="U28" s="14">
        <f t="shared" si="15"/>
        <v>-133.8366706712105</v>
      </c>
      <c r="V28" s="14">
        <f t="shared" si="15"/>
        <v>-596.7550836311377</v>
      </c>
      <c r="W28" s="14">
        <f t="shared" si="15"/>
        <v>-133.8366706712105</v>
      </c>
      <c r="X28" s="14">
        <f t="shared" si="15"/>
        <v>-133.8366706712105</v>
      </c>
      <c r="Y28" s="14">
        <f t="shared" si="15"/>
        <v>-133.8366706712105</v>
      </c>
      <c r="Z28" s="14">
        <f t="shared" si="15"/>
        <v>-195.24507161750626</v>
      </c>
      <c r="AA28" s="14">
        <f t="shared" si="15"/>
        <v>0</v>
      </c>
      <c r="AB28" s="14">
        <f t="shared" si="15"/>
        <v>0</v>
      </c>
      <c r="AC28" s="14">
        <f t="shared" si="15"/>
        <v>0</v>
      </c>
      <c r="AD28" s="14">
        <f t="shared" si="15"/>
        <v>0</v>
      </c>
      <c r="AE28" s="14">
        <f t="shared" si="15"/>
        <v>0</v>
      </c>
      <c r="AF28" s="14">
        <f t="shared" si="15"/>
        <v>-213.984923699295</v>
      </c>
      <c r="AH28" s="15"/>
    </row>
    <row r="29" spans="1:34" s="40" customFormat="1" ht="29.25" customHeight="1">
      <c r="A29" s="22" t="s">
        <v>52</v>
      </c>
      <c r="B29" s="14">
        <f aca="true" t="shared" si="16" ref="B29:AE29">B28+B19+B16</f>
        <v>1915.3103171542525</v>
      </c>
      <c r="C29" s="14">
        <f t="shared" si="16"/>
        <v>0</v>
      </c>
      <c r="D29" s="14">
        <f t="shared" si="16"/>
        <v>639.8376523847506</v>
      </c>
      <c r="E29" s="14">
        <f t="shared" si="16"/>
        <v>648.2429323847506</v>
      </c>
      <c r="F29" s="14">
        <f t="shared" si="16"/>
        <v>627.2297323847507</v>
      </c>
      <c r="G29" s="14">
        <f t="shared" si="16"/>
        <v>2764.382241275159</v>
      </c>
      <c r="H29" s="14">
        <f t="shared" si="16"/>
        <v>735.2898195375489</v>
      </c>
      <c r="I29" s="14">
        <f t="shared" si="16"/>
        <v>683.0616872458701</v>
      </c>
      <c r="J29" s="14">
        <f t="shared" si="16"/>
        <v>691.46696724587</v>
      </c>
      <c r="K29" s="14">
        <f t="shared" si="16"/>
        <v>654.5637672458697</v>
      </c>
      <c r="L29" s="14">
        <f t="shared" si="16"/>
        <v>2934.0880245543585</v>
      </c>
      <c r="M29" s="14">
        <f t="shared" si="16"/>
        <v>772.7300561417244</v>
      </c>
      <c r="N29" s="14">
        <f t="shared" si="16"/>
        <v>727.1502028042115</v>
      </c>
      <c r="O29" s="14">
        <f t="shared" si="16"/>
        <v>735.5554828042115</v>
      </c>
      <c r="P29" s="14">
        <f t="shared" si="16"/>
        <v>698.6522828042112</v>
      </c>
      <c r="Q29" s="14">
        <f t="shared" si="16"/>
        <v>3115.2918234991425</v>
      </c>
      <c r="R29" s="14">
        <f t="shared" si="16"/>
        <v>819.0229974779829</v>
      </c>
      <c r="S29" s="14">
        <f t="shared" si="16"/>
        <v>772.1204886737202</v>
      </c>
      <c r="T29" s="14">
        <f t="shared" si="16"/>
        <v>780.5257686737201</v>
      </c>
      <c r="U29" s="14">
        <f t="shared" si="16"/>
        <v>743.6225686737198</v>
      </c>
      <c r="V29" s="14">
        <f t="shared" si="16"/>
        <v>3238.711297476527</v>
      </c>
      <c r="W29" s="14">
        <f t="shared" si="16"/>
        <v>866.2417976409668</v>
      </c>
      <c r="X29" s="14">
        <f t="shared" si="16"/>
        <v>817.9901802606188</v>
      </c>
      <c r="Y29" s="14">
        <f t="shared" si="16"/>
        <v>826.3954602606187</v>
      </c>
      <c r="Z29" s="14">
        <f t="shared" si="16"/>
        <v>728.0838593143227</v>
      </c>
      <c r="AA29" s="14">
        <f t="shared" si="16"/>
        <v>0</v>
      </c>
      <c r="AB29" s="14">
        <f t="shared" si="16"/>
        <v>0</v>
      </c>
      <c r="AC29" s="14">
        <f t="shared" si="16"/>
        <v>0</v>
      </c>
      <c r="AD29" s="14">
        <f t="shared" si="16"/>
        <v>0</v>
      </c>
      <c r="AE29" s="14">
        <f t="shared" si="16"/>
        <v>0</v>
      </c>
      <c r="AF29" s="13">
        <f t="shared" si="9"/>
        <v>13967.783703959438</v>
      </c>
      <c r="AH29" s="15"/>
    </row>
    <row r="30" spans="1:34" s="40" customFormat="1" ht="17.25" customHeight="1">
      <c r="A30" s="22" t="s">
        <v>50</v>
      </c>
      <c r="B30" s="22">
        <v>0</v>
      </c>
      <c r="C30" s="22"/>
      <c r="D30" s="22"/>
      <c r="E30" s="22">
        <f>D31</f>
        <v>639.8376523847506</v>
      </c>
      <c r="F30" s="22">
        <f>E31</f>
        <v>1288.0805847695012</v>
      </c>
      <c r="G30" s="22">
        <f>B31</f>
        <v>1915.3103171542525</v>
      </c>
      <c r="H30" s="22">
        <f>F31</f>
        <v>1915.310317154252</v>
      </c>
      <c r="I30" s="22">
        <f>H31</f>
        <v>2650.600136691801</v>
      </c>
      <c r="J30" s="22">
        <f>I31</f>
        <v>3333.6618239376708</v>
      </c>
      <c r="K30" s="22">
        <f>J31</f>
        <v>4025.1287911835407</v>
      </c>
      <c r="L30" s="22">
        <f>G31</f>
        <v>4679.692558429411</v>
      </c>
      <c r="M30" s="22">
        <f>K31</f>
        <v>4679.69255842941</v>
      </c>
      <c r="N30" s="22">
        <f>M31</f>
        <v>5452.422614571135</v>
      </c>
      <c r="O30" s="22">
        <f>N31</f>
        <v>6179.572817375346</v>
      </c>
      <c r="P30" s="22">
        <f>O31</f>
        <v>6915.128300179557</v>
      </c>
      <c r="Q30" s="22">
        <f>L31</f>
        <v>7613.78058298377</v>
      </c>
      <c r="R30" s="22">
        <f>P31</f>
        <v>7613.780582983769</v>
      </c>
      <c r="S30" s="22">
        <f>R31</f>
        <v>8432.803580461752</v>
      </c>
      <c r="T30" s="22">
        <f>S31</f>
        <v>9204.924069135472</v>
      </c>
      <c r="U30" s="22">
        <f>T31</f>
        <v>9985.449837809192</v>
      </c>
      <c r="V30" s="22">
        <f>Q31</f>
        <v>10729.072406482912</v>
      </c>
      <c r="W30" s="22">
        <f>U31</f>
        <v>10729.072406482912</v>
      </c>
      <c r="X30" s="22">
        <f>W31</f>
        <v>11595.314204123879</v>
      </c>
      <c r="Y30" s="22">
        <f>X31</f>
        <v>12413.304384384497</v>
      </c>
      <c r="Z30" s="22">
        <f>Y31</f>
        <v>13239.699844645116</v>
      </c>
      <c r="AA30" s="22">
        <f>V31</f>
        <v>13967.783703959438</v>
      </c>
      <c r="AB30" s="22">
        <f>Z31</f>
        <v>13967.78370395944</v>
      </c>
      <c r="AC30" s="22">
        <f>AB31</f>
        <v>13967.78370395944</v>
      </c>
      <c r="AD30" s="22">
        <f>AC31</f>
        <v>13967.78370395944</v>
      </c>
      <c r="AE30" s="22">
        <f>AD31</f>
        <v>13967.78370395944</v>
      </c>
      <c r="AF30" s="22">
        <f>C30</f>
        <v>0</v>
      </c>
      <c r="AH30" s="15"/>
    </row>
    <row r="31" spans="1:34" s="42" customFormat="1" ht="13.5" customHeight="1" thickBot="1">
      <c r="A31" s="172" t="s">
        <v>51</v>
      </c>
      <c r="B31" s="172">
        <f aca="true" t="shared" si="17" ref="B31:G31">B30+B29</f>
        <v>1915.3103171542525</v>
      </c>
      <c r="C31" s="172">
        <f t="shared" si="17"/>
        <v>0</v>
      </c>
      <c r="D31" s="172">
        <f t="shared" si="17"/>
        <v>639.8376523847506</v>
      </c>
      <c r="E31" s="172">
        <f>E30+E29</f>
        <v>1288.0805847695012</v>
      </c>
      <c r="F31" s="172">
        <f t="shared" si="17"/>
        <v>1915.310317154252</v>
      </c>
      <c r="G31" s="172">
        <f t="shared" si="17"/>
        <v>4679.692558429411</v>
      </c>
      <c r="H31" s="172">
        <f>H30+H29</f>
        <v>2650.600136691801</v>
      </c>
      <c r="I31" s="172">
        <f aca="true" t="shared" si="18" ref="I31:S31">I30+I29</f>
        <v>3333.6618239376708</v>
      </c>
      <c r="J31" s="172">
        <f t="shared" si="18"/>
        <v>4025.1287911835407</v>
      </c>
      <c r="K31" s="172">
        <f t="shared" si="18"/>
        <v>4679.69255842941</v>
      </c>
      <c r="L31" s="172">
        <f t="shared" si="18"/>
        <v>7613.78058298377</v>
      </c>
      <c r="M31" s="172">
        <f t="shared" si="18"/>
        <v>5452.422614571135</v>
      </c>
      <c r="N31" s="172">
        <f t="shared" si="18"/>
        <v>6179.572817375346</v>
      </c>
      <c r="O31" s="172">
        <f t="shared" si="18"/>
        <v>6915.128300179557</v>
      </c>
      <c r="P31" s="172">
        <f t="shared" si="18"/>
        <v>7613.780582983769</v>
      </c>
      <c r="Q31" s="172">
        <f t="shared" si="18"/>
        <v>10729.072406482912</v>
      </c>
      <c r="R31" s="172">
        <f t="shared" si="18"/>
        <v>8432.803580461752</v>
      </c>
      <c r="S31" s="172">
        <f t="shared" si="18"/>
        <v>9204.924069135472</v>
      </c>
      <c r="T31" s="172">
        <f aca="true" t="shared" si="19" ref="T31:Z31">T30+T29</f>
        <v>9985.449837809192</v>
      </c>
      <c r="U31" s="172">
        <f t="shared" si="19"/>
        <v>10729.072406482912</v>
      </c>
      <c r="V31" s="172">
        <f t="shared" si="19"/>
        <v>13967.783703959438</v>
      </c>
      <c r="W31" s="172">
        <f t="shared" si="19"/>
        <v>11595.314204123879</v>
      </c>
      <c r="X31" s="172">
        <f t="shared" si="19"/>
        <v>12413.304384384497</v>
      </c>
      <c r="Y31" s="172">
        <f t="shared" si="19"/>
        <v>13239.699844645116</v>
      </c>
      <c r="Z31" s="172">
        <f t="shared" si="19"/>
        <v>13967.78370395944</v>
      </c>
      <c r="AA31" s="172">
        <f aca="true" t="shared" si="20" ref="AA31:AF31">AA30+AA29</f>
        <v>13967.783703959438</v>
      </c>
      <c r="AB31" s="172">
        <f t="shared" si="20"/>
        <v>13967.78370395944</v>
      </c>
      <c r="AC31" s="172">
        <f t="shared" si="20"/>
        <v>13967.78370395944</v>
      </c>
      <c r="AD31" s="172">
        <f t="shared" si="20"/>
        <v>13967.78370395944</v>
      </c>
      <c r="AE31" s="172">
        <f t="shared" si="20"/>
        <v>13967.78370395944</v>
      </c>
      <c r="AF31" s="172">
        <f t="shared" si="20"/>
        <v>13967.783703959438</v>
      </c>
      <c r="AH31" s="15"/>
    </row>
    <row r="32" spans="1:27" ht="13.5" customHeight="1" thickTop="1">
      <c r="A32" s="207"/>
      <c r="AA32" s="35"/>
    </row>
    <row r="33" spans="1:27" ht="13.5" customHeight="1">
      <c r="A33" s="208" t="s">
        <v>334</v>
      </c>
      <c r="B33" s="209"/>
      <c r="AA33" s="35"/>
    </row>
    <row r="34" ht="13.5" customHeight="1">
      <c r="AA34" s="35"/>
    </row>
    <row r="35" ht="13.5" customHeight="1">
      <c r="AA35" s="35"/>
    </row>
    <row r="36" ht="13.5" customHeight="1">
      <c r="AA36" s="35"/>
    </row>
    <row r="37" ht="13.5" customHeight="1">
      <c r="AA37" s="35"/>
    </row>
    <row r="38" ht="13.5" customHeight="1">
      <c r="AA38" s="35"/>
    </row>
    <row r="39" ht="13.5" customHeight="1">
      <c r="AA39" s="35"/>
    </row>
    <row r="40" ht="13.5" customHeight="1">
      <c r="AA40" s="35"/>
    </row>
    <row r="41" ht="13.5" customHeight="1">
      <c r="AA41" s="35"/>
    </row>
    <row r="42" ht="13.5" customHeight="1">
      <c r="AA42" s="35"/>
    </row>
    <row r="43" ht="13.5" customHeight="1">
      <c r="AA43" s="35"/>
    </row>
    <row r="44" ht="13.5" customHeight="1">
      <c r="AA44" s="35"/>
    </row>
    <row r="45" ht="13.5" customHeight="1">
      <c r="AA45" s="35"/>
    </row>
    <row r="46" ht="13.5" customHeight="1">
      <c r="AA46" s="35"/>
    </row>
    <row r="47" ht="13.5" customHeight="1">
      <c r="AA47" s="35"/>
    </row>
    <row r="48" ht="13.5" customHeight="1">
      <c r="AA48" s="35"/>
    </row>
    <row r="49" ht="13.5" customHeight="1">
      <c r="AA49" s="35"/>
    </row>
  </sheetData>
  <sheetProtection/>
  <mergeCells count="20">
    <mergeCell ref="C8:F8"/>
    <mergeCell ref="H8:K8"/>
    <mergeCell ref="R8:U8"/>
    <mergeCell ref="V7:Z7"/>
    <mergeCell ref="W8:Z8"/>
    <mergeCell ref="Q8:Q9"/>
    <mergeCell ref="L7:P7"/>
    <mergeCell ref="M8:P8"/>
    <mergeCell ref="Q7:U7"/>
    <mergeCell ref="V8:V9"/>
    <mergeCell ref="AA7:AE7"/>
    <mergeCell ref="AA8:AA9"/>
    <mergeCell ref="AB8:AE8"/>
    <mergeCell ref="AF7:AF9"/>
    <mergeCell ref="A7:A9"/>
    <mergeCell ref="G7:K7"/>
    <mergeCell ref="B7:F7"/>
    <mergeCell ref="L8:L9"/>
    <mergeCell ref="B8:B9"/>
    <mergeCell ref="G8:G9"/>
  </mergeCells>
  <printOptions horizontalCentered="1"/>
  <pageMargins left="0.15748031496062992" right="0.1968503937007874" top="0.3937007874015748" bottom="0.2362204724409449" header="0.7086614173228347" footer="0.6299212598425197"/>
  <pageSetup fitToWidth="2" fitToHeight="1" horizontalDpi="120" verticalDpi="12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 Божевольная З.А. BiZinvest14</dc:creator>
  <cp:keywords/>
  <dc:description/>
  <cp:lastModifiedBy>Пользователь Windows</cp:lastModifiedBy>
  <cp:lastPrinted>2019-09-20T14:02:00Z</cp:lastPrinted>
  <dcterms:created xsi:type="dcterms:W3CDTF">2004-11-08T08:09:30Z</dcterms:created>
  <dcterms:modified xsi:type="dcterms:W3CDTF">2019-09-20T14:02:48Z</dcterms:modified>
  <cp:category/>
  <cp:version/>
  <cp:contentType/>
  <cp:contentStatus/>
</cp:coreProperties>
</file>